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0730" windowHeight="11760" activeTab="1"/>
  </bookViews>
  <sheets>
    <sheet name="附件5-市汇总表" sheetId="1" r:id="rId1"/>
    <sheet name="附件6-运营补贴统计表" sheetId="3" r:id="rId2"/>
    <sheet name="附件7-困难老人入住机构补贴统计表" sheetId="2" r:id="rId3"/>
  </sheets>
  <calcPr calcId="125725"/>
</workbook>
</file>

<file path=xl/calcChain.xml><?xml version="1.0" encoding="utf-8"?>
<calcChain xmlns="http://schemas.openxmlformats.org/spreadsheetml/2006/main">
  <c r="M10" i="2"/>
  <c r="H7" i="1"/>
  <c r="H6"/>
  <c r="D7" l="1"/>
  <c r="E7"/>
  <c r="F7"/>
  <c r="G7"/>
  <c r="C7"/>
  <c r="BC67" i="3"/>
  <c r="BB67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E72"/>
  <c r="BA67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E68"/>
  <c r="AY66"/>
  <c r="AX66"/>
  <c r="AW66"/>
  <c r="AZ66" s="1"/>
  <c r="AU66"/>
  <c r="AT66"/>
  <c r="AS66"/>
  <c r="AV66" s="1"/>
  <c r="AQ66"/>
  <c r="AP66"/>
  <c r="AO66"/>
  <c r="AR66" s="1"/>
  <c r="AM66"/>
  <c r="AL66"/>
  <c r="AK66"/>
  <c r="AN66" s="1"/>
  <c r="W66"/>
  <c r="V66"/>
  <c r="U66"/>
  <c r="X66" s="1"/>
  <c r="S66"/>
  <c r="R66"/>
  <c r="Q66"/>
  <c r="T66" s="1"/>
  <c r="O66"/>
  <c r="N66"/>
  <c r="M66"/>
  <c r="P66" s="1"/>
  <c r="K66"/>
  <c r="J66"/>
  <c r="I66"/>
  <c r="L66" s="1"/>
  <c r="H66"/>
  <c r="BA61"/>
  <c r="BB61" l="1"/>
  <c r="BC61" s="1"/>
  <c r="AY59" l="1"/>
  <c r="AX59"/>
  <c r="AW59"/>
  <c r="AU59"/>
  <c r="AT59"/>
  <c r="AS59"/>
  <c r="AV59" s="1"/>
  <c r="AQ59"/>
  <c r="AP59"/>
  <c r="AO59"/>
  <c r="AL59"/>
  <c r="AK59"/>
  <c r="AI59"/>
  <c r="AH59"/>
  <c r="AG59"/>
  <c r="AJ59" s="1"/>
  <c r="AD59"/>
  <c r="AC59"/>
  <c r="AF59" s="1"/>
  <c r="AA59"/>
  <c r="AB59" s="1"/>
  <c r="Z59"/>
  <c r="Y59"/>
  <c r="X59"/>
  <c r="T59"/>
  <c r="P59"/>
  <c r="L59"/>
  <c r="H59"/>
  <c r="BA54"/>
  <c r="AN59" l="1"/>
  <c r="BB54" s="1"/>
  <c r="BC54" s="1"/>
  <c r="AZ59"/>
  <c r="AR59"/>
  <c r="AY52" l="1"/>
  <c r="AZ52" s="1"/>
  <c r="AU52"/>
  <c r="AV52" s="1"/>
  <c r="AQ52"/>
  <c r="AR52" s="1"/>
  <c r="AM52"/>
  <c r="AN52" s="1"/>
  <c r="AI52"/>
  <c r="AJ52" s="1"/>
  <c r="AE52"/>
  <c r="AF52" s="1"/>
  <c r="AA52"/>
  <c r="AB52" s="1"/>
  <c r="X52"/>
  <c r="T52"/>
  <c r="P52"/>
  <c r="H52"/>
  <c r="BA47"/>
  <c r="BB47" l="1"/>
  <c r="BC47" s="1"/>
  <c r="AY45"/>
  <c r="AX45"/>
  <c r="AZ45" s="1"/>
  <c r="AV45"/>
  <c r="AU45"/>
  <c r="AT45"/>
  <c r="AQ45"/>
  <c r="AP45"/>
  <c r="AR45" s="1"/>
  <c r="AM45"/>
  <c r="AN45" s="1"/>
  <c r="AJ45"/>
  <c r="AE45"/>
  <c r="AF45" s="1"/>
  <c r="AB45"/>
  <c r="X45"/>
  <c r="T45"/>
  <c r="P45"/>
  <c r="L45"/>
  <c r="H45"/>
  <c r="AZ41"/>
  <c r="AN41"/>
  <c r="BB40"/>
  <c r="BC40" s="1"/>
  <c r="AZ38" l="1"/>
  <c r="AV38"/>
  <c r="AR38"/>
  <c r="AN38"/>
  <c r="AJ38"/>
  <c r="AF38"/>
  <c r="AB38"/>
  <c r="X38"/>
  <c r="T38"/>
  <c r="P38"/>
  <c r="L38"/>
  <c r="H38"/>
  <c r="AZ34"/>
  <c r="AV34"/>
  <c r="AR34"/>
  <c r="AN34"/>
  <c r="AJ34"/>
  <c r="AF34"/>
  <c r="AB34"/>
  <c r="X34"/>
  <c r="T34"/>
  <c r="P34"/>
  <c r="L34"/>
  <c r="H34"/>
  <c r="BB33"/>
  <c r="BC33" s="1"/>
  <c r="AZ31" l="1"/>
  <c r="AV31"/>
  <c r="AR31"/>
  <c r="AN31"/>
  <c r="AJ31"/>
  <c r="AF31"/>
  <c r="AB31"/>
  <c r="X31"/>
  <c r="T31"/>
  <c r="P31"/>
  <c r="L31"/>
  <c r="H31"/>
  <c r="AZ27"/>
  <c r="AV27"/>
  <c r="AR27"/>
  <c r="AN27"/>
  <c r="AJ27"/>
  <c r="AF27"/>
  <c r="AB27"/>
  <c r="X27"/>
  <c r="T27"/>
  <c r="P27"/>
  <c r="L27"/>
  <c r="H27"/>
  <c r="BB26"/>
  <c r="BC26" s="1"/>
  <c r="BA26" l="1"/>
  <c r="AZ24"/>
  <c r="AB24"/>
  <c r="X24"/>
  <c r="T24"/>
  <c r="P24"/>
  <c r="L24"/>
  <c r="H24"/>
  <c r="AZ20"/>
  <c r="AB20"/>
  <c r="BB19"/>
  <c r="BC19" s="1"/>
  <c r="AY17" l="1"/>
  <c r="AZ17" s="1"/>
  <c r="AX17"/>
  <c r="AU17"/>
  <c r="AT17"/>
  <c r="AV17" s="1"/>
  <c r="AQ17"/>
  <c r="AP17"/>
  <c r="AM17"/>
  <c r="AL17"/>
  <c r="AN17" s="1"/>
  <c r="AI17"/>
  <c r="AH17"/>
  <c r="AE17"/>
  <c r="AD17"/>
  <c r="AF17" s="1"/>
  <c r="AA17"/>
  <c r="Z17"/>
  <c r="AB17" s="1"/>
  <c r="X17"/>
  <c r="T17"/>
  <c r="P17"/>
  <c r="L17"/>
  <c r="F17"/>
  <c r="H17" s="1"/>
  <c r="BA12"/>
  <c r="AJ17" l="1"/>
  <c r="BB12" s="1"/>
  <c r="BC12" s="1"/>
  <c r="AR17"/>
  <c r="AY10"/>
  <c r="AX10"/>
  <c r="AW10"/>
  <c r="AZ10" s="1"/>
  <c r="AU10"/>
  <c r="AT10"/>
  <c r="AS10"/>
  <c r="AV10" s="1"/>
  <c r="AQ10"/>
  <c r="AP10"/>
  <c r="AO10"/>
  <c r="AM10"/>
  <c r="AL10"/>
  <c r="AK10"/>
  <c r="AI10"/>
  <c r="AH10"/>
  <c r="AG10"/>
  <c r="AJ10" s="1"/>
  <c r="AE10"/>
  <c r="AD10"/>
  <c r="AC10"/>
  <c r="AF10" s="1"/>
  <c r="AA10"/>
  <c r="Z10"/>
  <c r="Y10"/>
  <c r="AZ6"/>
  <c r="AV6"/>
  <c r="AR6"/>
  <c r="AN6"/>
  <c r="BA5" s="1"/>
  <c r="AJ6"/>
  <c r="AF6"/>
  <c r="AB6"/>
  <c r="AB10" l="1"/>
  <c r="AR10"/>
  <c r="AN10"/>
  <c r="BB5"/>
  <c r="BC5" s="1"/>
  <c r="K10" i="2" l="1"/>
  <c r="J10"/>
  <c r="I10"/>
  <c r="H10"/>
  <c r="M9"/>
  <c r="L9"/>
  <c r="G9"/>
  <c r="L8"/>
  <c r="L10" s="1"/>
  <c r="L7"/>
  <c r="M7" s="1"/>
  <c r="G7"/>
  <c r="M6"/>
  <c r="L6"/>
  <c r="M8" l="1"/>
</calcChain>
</file>

<file path=xl/sharedStrings.xml><?xml version="1.0" encoding="utf-8"?>
<sst xmlns="http://schemas.openxmlformats.org/spreadsheetml/2006/main" count="1415" uniqueCount="147">
  <si>
    <t>机构（所）</t>
  </si>
  <si>
    <t>序号</t>
  </si>
  <si>
    <t>地区</t>
  </si>
  <si>
    <t>民办养老机构运营补贴</t>
  </si>
  <si>
    <t>合计</t>
  </si>
  <si>
    <t>市补贴总额</t>
  </si>
  <si>
    <t>民政局（公章）</t>
  </si>
  <si>
    <t>财政局（公章）</t>
  </si>
  <si>
    <t>困难老人入住机构补贴</t>
    <phoneticPr fontId="8" type="noConversion"/>
  </si>
  <si>
    <t>困难老人总数（人）</t>
    <phoneticPr fontId="8" type="noConversion"/>
  </si>
  <si>
    <t>市补贴资金
（万元）</t>
    <phoneticPr fontId="8" type="noConversion"/>
  </si>
  <si>
    <t>2019年度长春市养老机构补贴资金汇总表</t>
    <phoneticPr fontId="8" type="noConversion"/>
  </si>
  <si>
    <t>附件5</t>
    <phoneticPr fontId="8" type="noConversion"/>
  </si>
  <si>
    <t>汽开区</t>
    <phoneticPr fontId="8" type="noConversion"/>
  </si>
  <si>
    <t>附件7</t>
    <phoneticPr fontId="8" type="noConversion"/>
  </si>
  <si>
    <t>2019年度养老机构困难老人入住养老机构补贴统计表</t>
    <phoneticPr fontId="8" type="noConversion"/>
  </si>
  <si>
    <t>机构名称</t>
  </si>
  <si>
    <t>法人代表</t>
  </si>
  <si>
    <t>联系电话</t>
  </si>
  <si>
    <t>床位总数</t>
  </si>
  <si>
    <t>入住人员总数</t>
  </si>
  <si>
    <t>困难老人总数</t>
    <phoneticPr fontId="8" type="noConversion"/>
  </si>
  <si>
    <t>12个月共核实入住总人数（每月入住人数加和）</t>
  </si>
  <si>
    <t>补贴资金总额（万元）</t>
  </si>
  <si>
    <t>其中市补贴资金（万元）</t>
  </si>
  <si>
    <t>自理</t>
  </si>
  <si>
    <t>半自理</t>
  </si>
  <si>
    <t>不能自理</t>
  </si>
  <si>
    <t>汽开区</t>
    <phoneticPr fontId="8" type="noConversion"/>
  </si>
  <si>
    <t>长春汽车经济技术开发区怡心苑养老院</t>
    <phoneticPr fontId="8" type="noConversion"/>
  </si>
  <si>
    <t>耿娟</t>
    <phoneticPr fontId="8" type="noConversion"/>
  </si>
  <si>
    <t>103张</t>
    <phoneticPr fontId="8" type="noConversion"/>
  </si>
  <si>
    <t>长春汽车经济技术开发区汇滨养老院</t>
    <phoneticPr fontId="8" type="noConversion"/>
  </si>
  <si>
    <t>荆佳喜</t>
  </si>
  <si>
    <t>59张</t>
  </si>
  <si>
    <t>长春汽车经济技术开发区吉盛大同养老院</t>
    <phoneticPr fontId="8" type="noConversion"/>
  </si>
  <si>
    <t>刘淑清</t>
  </si>
  <si>
    <r>
      <t>7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张</t>
    </r>
    <phoneticPr fontId="8" type="noConversion"/>
  </si>
  <si>
    <t>长春汽车经济技术开发区康泰园养老院</t>
    <phoneticPr fontId="8" type="noConversion"/>
  </si>
  <si>
    <t>高研</t>
    <phoneticPr fontId="8" type="noConversion"/>
  </si>
  <si>
    <t>18043816778</t>
    <phoneticPr fontId="8" type="noConversion"/>
  </si>
  <si>
    <t>568张</t>
  </si>
  <si>
    <t>合计</t>
    <phoneticPr fontId="8" type="noConversion"/>
  </si>
  <si>
    <t>2019年度民办养老机构运营补贴统计表</t>
    <phoneticPr fontId="8" type="noConversion"/>
  </si>
  <si>
    <t>长春市多恩养老康复中心</t>
    <phoneticPr fontId="8" type="noConversion"/>
  </si>
  <si>
    <t>1月份核实入住人数</t>
  </si>
  <si>
    <t>2月份核实入住人数</t>
  </si>
  <si>
    <t>3月份核实入住人数</t>
  </si>
  <si>
    <t>4月份核实入住人数</t>
  </si>
  <si>
    <t>5月份核实入住人数</t>
  </si>
  <si>
    <t>6月份核实入住人数</t>
  </si>
  <si>
    <t>7月份核实入住人数</t>
  </si>
  <si>
    <t>8月份核实入住人数</t>
  </si>
  <si>
    <t>9月份核实入住人数</t>
  </si>
  <si>
    <t>10月份核实入住人数</t>
  </si>
  <si>
    <t>11月份核实入住人数</t>
  </si>
  <si>
    <t>12月份核实入住人数</t>
  </si>
  <si>
    <t>1-12月核定人次</t>
  </si>
  <si>
    <t>李耀宇</t>
    <phoneticPr fontId="8" type="noConversion"/>
  </si>
  <si>
    <t>总计</t>
  </si>
  <si>
    <r>
      <t>8</t>
    </r>
    <r>
      <rPr>
        <sz val="9"/>
        <rFont val="宋体"/>
        <family val="3"/>
        <charset val="134"/>
      </rPr>
      <t>1223915</t>
    </r>
    <phoneticPr fontId="8" type="noConversion"/>
  </si>
  <si>
    <r>
      <t>2</t>
    </r>
    <r>
      <rPr>
        <sz val="9"/>
        <color rgb="FF000000"/>
        <rFont val="宋体"/>
        <family val="3"/>
        <charset val="134"/>
      </rPr>
      <t>7</t>
    </r>
    <phoneticPr fontId="8" type="noConversion"/>
  </si>
  <si>
    <t>成立时间</t>
  </si>
  <si>
    <r>
      <t>2</t>
    </r>
    <r>
      <rPr>
        <sz val="9"/>
        <rFont val="宋体"/>
        <family val="3"/>
        <charset val="134"/>
      </rPr>
      <t>016-10-24</t>
    </r>
    <phoneticPr fontId="8" type="noConversion"/>
  </si>
  <si>
    <t>1月份核实补贴金额</t>
  </si>
  <si>
    <t>2月份核实补贴金额</t>
  </si>
  <si>
    <t>3月份核实补贴金额</t>
  </si>
  <si>
    <t>4月份核实补贴金额</t>
  </si>
  <si>
    <t>5月份核实补贴金额</t>
  </si>
  <si>
    <t>6月份核实补贴金额</t>
  </si>
  <si>
    <t>7月份核实补贴金额</t>
  </si>
  <si>
    <t>8月份核实补贴金额</t>
  </si>
  <si>
    <t>9月份核实补贴金额</t>
    <phoneticPr fontId="8" type="noConversion"/>
  </si>
  <si>
    <t>10月份核实补贴金额</t>
  </si>
  <si>
    <t>11月份核实补贴金额</t>
  </si>
  <si>
    <t>12月份核实补贴金额</t>
  </si>
  <si>
    <t>建筑面积</t>
  </si>
  <si>
    <t>5683.27㎡</t>
    <phoneticPr fontId="8" type="noConversion"/>
  </si>
  <si>
    <t>核定床位数</t>
    <phoneticPr fontId="8" type="noConversion"/>
  </si>
  <si>
    <r>
      <t>2</t>
    </r>
    <r>
      <rPr>
        <sz val="9"/>
        <color rgb="FF000000"/>
        <rFont val="宋体"/>
        <family val="3"/>
        <charset val="134"/>
      </rPr>
      <t>01</t>
    </r>
    <phoneticPr fontId="8" type="noConversion"/>
  </si>
  <si>
    <t>长春汽车经济技术开发区华铱堂老年养护院</t>
    <phoneticPr fontId="8" type="noConversion"/>
  </si>
  <si>
    <t>汽开区</t>
    <phoneticPr fontId="8" type="noConversion"/>
  </si>
  <si>
    <t>葛云婉</t>
    <phoneticPr fontId="8" type="noConversion"/>
  </si>
  <si>
    <t>89180677</t>
    <phoneticPr fontId="8" type="noConversion"/>
  </si>
  <si>
    <t>98</t>
    <phoneticPr fontId="8" type="noConversion"/>
  </si>
  <si>
    <t>2017-7-25</t>
    <phoneticPr fontId="8" type="noConversion"/>
  </si>
  <si>
    <t>9月份核实补贴金额</t>
    <phoneticPr fontId="8" type="noConversion"/>
  </si>
  <si>
    <t>1714.87㎡</t>
    <phoneticPr fontId="8" type="noConversion"/>
  </si>
  <si>
    <t>核定床位数</t>
    <phoneticPr fontId="8" type="noConversion"/>
  </si>
  <si>
    <t>144</t>
    <phoneticPr fontId="8" type="noConversion"/>
  </si>
  <si>
    <t>汇滨养老院</t>
    <phoneticPr fontId="8" type="noConversion"/>
  </si>
  <si>
    <t>汽开区</t>
    <phoneticPr fontId="8" type="noConversion"/>
  </si>
  <si>
    <t>荆佳喜</t>
    <phoneticPr fontId="8" type="noConversion"/>
  </si>
  <si>
    <t>17767727878</t>
    <phoneticPr fontId="8" type="noConversion"/>
  </si>
  <si>
    <t>2014.11.27</t>
    <phoneticPr fontId="8" type="noConversion"/>
  </si>
  <si>
    <t>1600平方米</t>
    <phoneticPr fontId="8" type="noConversion"/>
  </si>
  <si>
    <t>59张</t>
    <phoneticPr fontId="8" type="noConversion"/>
  </si>
  <si>
    <t>吉盛大同养老院</t>
  </si>
  <si>
    <t>刘淑清</t>
    <phoneticPr fontId="8" type="noConversion"/>
  </si>
  <si>
    <t>18843186504</t>
    <phoneticPr fontId="8" type="noConversion"/>
  </si>
  <si>
    <t>2008.8.20</t>
    <phoneticPr fontId="8" type="noConversion"/>
  </si>
  <si>
    <t>918平方米</t>
    <phoneticPr fontId="8" type="noConversion"/>
  </si>
  <si>
    <t>74张</t>
    <phoneticPr fontId="8" type="noConversion"/>
  </si>
  <si>
    <t>康泰园养老院</t>
    <phoneticPr fontId="8" type="noConversion"/>
  </si>
  <si>
    <t>高研</t>
    <phoneticPr fontId="8" type="noConversion"/>
  </si>
  <si>
    <t>18043816778</t>
    <phoneticPr fontId="8" type="noConversion"/>
  </si>
  <si>
    <t>2017.12.9</t>
    <phoneticPr fontId="8" type="noConversion"/>
  </si>
  <si>
    <t>8月份核实补贴金额</t>
    <phoneticPr fontId="8" type="noConversion"/>
  </si>
  <si>
    <t>8611.92平方米</t>
    <phoneticPr fontId="8" type="noConversion"/>
  </si>
  <si>
    <t>不能自理</t>
    <phoneticPr fontId="8" type="noConversion"/>
  </si>
  <si>
    <t>568张</t>
    <phoneticPr fontId="8" type="noConversion"/>
  </si>
  <si>
    <t>1</t>
    <phoneticPr fontId="8" type="noConversion"/>
  </si>
  <si>
    <t>2</t>
    <phoneticPr fontId="8" type="noConversion"/>
  </si>
  <si>
    <t>3</t>
    <phoneticPr fontId="8" type="noConversion"/>
  </si>
  <si>
    <t>4</t>
    <phoneticPr fontId="8" type="noConversion"/>
  </si>
  <si>
    <t>5</t>
    <phoneticPr fontId="8" type="noConversion"/>
  </si>
  <si>
    <t>兴顺老年公寓</t>
    <phoneticPr fontId="8" type="noConversion"/>
  </si>
  <si>
    <t>刘春香</t>
    <phoneticPr fontId="8" type="noConversion"/>
  </si>
  <si>
    <t>13504403340</t>
    <phoneticPr fontId="8" type="noConversion"/>
  </si>
  <si>
    <t>2009.10.1</t>
    <phoneticPr fontId="8" type="noConversion"/>
  </si>
  <si>
    <t>224（平方米）</t>
    <phoneticPr fontId="8" type="noConversion"/>
  </si>
  <si>
    <t>6</t>
    <phoneticPr fontId="8" type="noConversion"/>
  </si>
  <si>
    <t>汽开区</t>
    <phoneticPr fontId="8" type="noConversion"/>
  </si>
  <si>
    <t>汽开区</t>
    <phoneticPr fontId="8" type="noConversion"/>
  </si>
  <si>
    <t>长春汽车经济技术开发区养心苑养老院</t>
    <phoneticPr fontId="8" type="noConversion"/>
  </si>
  <si>
    <t>林斌</t>
    <phoneticPr fontId="8" type="noConversion"/>
  </si>
  <si>
    <t>13756141115</t>
    <phoneticPr fontId="8" type="noConversion"/>
  </si>
  <si>
    <t>2016-12-01</t>
    <phoneticPr fontId="8" type="noConversion"/>
  </si>
  <si>
    <t>1314.24㎡</t>
    <phoneticPr fontId="8" type="noConversion"/>
  </si>
  <si>
    <t>123</t>
    <phoneticPr fontId="8" type="noConversion"/>
  </si>
  <si>
    <t>7</t>
    <phoneticPr fontId="8" type="noConversion"/>
  </si>
  <si>
    <t>长春汽车经济技术开发区怡心苑养老院</t>
    <phoneticPr fontId="8" type="noConversion"/>
  </si>
  <si>
    <t>耿娟</t>
    <phoneticPr fontId="8" type="noConversion"/>
  </si>
  <si>
    <t>13500818900</t>
    <phoneticPr fontId="8" type="noConversion"/>
  </si>
  <si>
    <t>2015-10-19</t>
    <phoneticPr fontId="8" type="noConversion"/>
  </si>
  <si>
    <t>1284.94㎡</t>
    <phoneticPr fontId="8" type="noConversion"/>
  </si>
  <si>
    <t>103</t>
    <phoneticPr fontId="8" type="noConversion"/>
  </si>
  <si>
    <t>8</t>
    <phoneticPr fontId="8" type="noConversion"/>
  </si>
  <si>
    <t>长春汽车经济技术开发区永昌敬老院</t>
    <phoneticPr fontId="8" type="noConversion"/>
  </si>
  <si>
    <t>李爽</t>
    <phoneticPr fontId="8" type="noConversion"/>
  </si>
  <si>
    <t>15844033355</t>
    <phoneticPr fontId="8" type="noConversion"/>
  </si>
  <si>
    <t>43</t>
    <phoneticPr fontId="8" type="noConversion"/>
  </si>
  <si>
    <t>2017-10-10</t>
    <phoneticPr fontId="8" type="noConversion"/>
  </si>
  <si>
    <t>1200㎡</t>
    <phoneticPr fontId="8" type="noConversion"/>
  </si>
  <si>
    <t>80</t>
    <phoneticPr fontId="8" type="noConversion"/>
  </si>
  <si>
    <t>9</t>
    <phoneticPr fontId="8" type="noConversion"/>
  </si>
  <si>
    <t>合计</t>
    <phoneticPr fontId="8" type="noConversion"/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</si>
</sst>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176" formatCode="_ * #,##0.0000_ ;_ * \-#,##0.0000_ ;_ * &quot;-&quot;??_ ;_ @_ "/>
    <numFmt numFmtId="177" formatCode="_ * #,##0_ ;_ * \-#,##0_ ;_ * &quot;-&quot;??_ ;_ @_ "/>
    <numFmt numFmtId="178" formatCode="0.00_);[Red]\(0.00\)"/>
    <numFmt numFmtId="179" formatCode="0.000"/>
    <numFmt numFmtId="180" formatCode="_ * #,##0.000_ ;_ * \-#,##0.000_ ;_ * &quot;-&quot;??_ ;_ @_ "/>
    <numFmt numFmtId="181" formatCode="0_);[Red]\(0\)"/>
    <numFmt numFmtId="182" formatCode="0.000000_);[Red]\(0.000000\)"/>
    <numFmt numFmtId="183" formatCode="0.00_ "/>
    <numFmt numFmtId="184" formatCode="0.000_ "/>
    <numFmt numFmtId="185" formatCode="0.0000"/>
    <numFmt numFmtId="186" formatCode="0.0000_);[Red]\(0.0000\)"/>
    <numFmt numFmtId="188" formatCode="0.00000_);[Red]\(0.00000\)"/>
  </numFmts>
  <fonts count="14">
    <font>
      <sz val="11"/>
      <name val="宋体"/>
    </font>
    <font>
      <sz val="14"/>
      <color rgb="FF000000"/>
      <name val="黑体"/>
      <family val="3"/>
      <charset val="134"/>
    </font>
    <font>
      <b/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2">
      <alignment vertical="center"/>
    </xf>
    <xf numFmtId="0" fontId="3" fillId="0" borderId="0" xfId="2" applyFont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4" fillId="0" borderId="0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textRotation="255" wrapText="1"/>
    </xf>
    <xf numFmtId="0" fontId="8" fillId="0" borderId="2" xfId="2" applyFont="1" applyFill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right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right" vertical="center" wrapText="1"/>
    </xf>
    <xf numFmtId="49" fontId="12" fillId="0" borderId="5" xfId="2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9" fillId="0" borderId="2" xfId="2" applyBorder="1">
      <alignment vertical="center"/>
    </xf>
    <xf numFmtId="49" fontId="11" fillId="0" borderId="2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right" vertical="center"/>
    </xf>
    <xf numFmtId="0" fontId="7" fillId="0" borderId="0" xfId="2" applyFont="1" applyBorder="1">
      <alignment vertical="center"/>
    </xf>
    <xf numFmtId="0" fontId="11" fillId="0" borderId="0" xfId="2" applyFont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 wrapText="1"/>
    </xf>
    <xf numFmtId="43" fontId="7" fillId="0" borderId="0" xfId="2" applyNumberFormat="1" applyFont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center" vertical="center" wrapText="1"/>
    </xf>
    <xf numFmtId="49" fontId="4" fillId="0" borderId="0" xfId="2" applyNumberFormat="1" applyFont="1" applyBorder="1" applyAlignment="1">
      <alignment vertical="center" wrapText="1"/>
    </xf>
    <xf numFmtId="43" fontId="7" fillId="0" borderId="0" xfId="2" applyNumberFormat="1" applyFont="1" applyBorder="1" applyAlignment="1">
      <alignment horizontal="center" vertical="center" wrapText="1"/>
    </xf>
    <xf numFmtId="49" fontId="7" fillId="0" borderId="0" xfId="2" applyNumberFormat="1" applyFont="1" applyBorder="1" applyAlignment="1">
      <alignment horizontal="center" vertical="center" wrapText="1"/>
    </xf>
    <xf numFmtId="49" fontId="12" fillId="0" borderId="2" xfId="2" applyNumberFormat="1" applyFont="1" applyBorder="1" applyAlignment="1">
      <alignment horizontal="center" vertical="center" wrapText="1"/>
    </xf>
    <xf numFmtId="43" fontId="12" fillId="0" borderId="2" xfId="2" applyNumberFormat="1" applyFont="1" applyBorder="1" applyAlignment="1">
      <alignment horizontal="center" vertical="center" wrapText="1"/>
    </xf>
    <xf numFmtId="177" fontId="12" fillId="0" borderId="2" xfId="2" applyNumberFormat="1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0" fontId="12" fillId="0" borderId="2" xfId="1" applyNumberFormat="1" applyFont="1" applyBorder="1" applyAlignment="1">
      <alignment horizontal="center" vertical="center" wrapText="1"/>
    </xf>
    <xf numFmtId="2" fontId="12" fillId="0" borderId="2" xfId="1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179" fontId="12" fillId="0" borderId="2" xfId="0" applyNumberFormat="1" applyFont="1" applyBorder="1" applyAlignment="1">
      <alignment horizontal="center" vertical="center" wrapText="1"/>
    </xf>
    <xf numFmtId="180" fontId="12" fillId="0" borderId="2" xfId="1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8" fillId="0" borderId="0" xfId="0" applyFont="1">
      <alignment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82" fontId="7" fillId="0" borderId="0" xfId="0" applyNumberFormat="1" applyFont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83" fontId="12" fillId="0" borderId="2" xfId="0" applyNumberFormat="1" applyFont="1" applyBorder="1" applyAlignment="1">
      <alignment horizontal="center" vertical="center" wrapText="1"/>
    </xf>
    <xf numFmtId="184" fontId="12" fillId="0" borderId="2" xfId="0" applyNumberFormat="1" applyFont="1" applyBorder="1" applyAlignment="1">
      <alignment horizontal="center" vertical="center" wrapText="1"/>
    </xf>
    <xf numFmtId="185" fontId="12" fillId="0" borderId="2" xfId="1" applyNumberFormat="1" applyFont="1" applyBorder="1" applyAlignment="1">
      <alignment horizontal="center" vertical="center" wrapText="1"/>
    </xf>
    <xf numFmtId="186" fontId="7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12" fillId="0" borderId="4" xfId="2" applyNumberFormat="1" applyFont="1" applyBorder="1" applyAlignment="1">
      <alignment horizontal="center" vertical="center" wrapText="1"/>
    </xf>
    <xf numFmtId="177" fontId="12" fillId="0" borderId="8" xfId="2" applyNumberFormat="1" applyFont="1" applyBorder="1" applyAlignment="1">
      <alignment horizontal="center" vertical="center" wrapText="1"/>
    </xf>
    <xf numFmtId="177" fontId="12" fillId="0" borderId="2" xfId="2" applyNumberFormat="1" applyFont="1" applyBorder="1" applyAlignment="1">
      <alignment horizontal="center" vertical="center" wrapText="1"/>
    </xf>
    <xf numFmtId="49" fontId="8" fillId="0" borderId="10" xfId="2" applyNumberFormat="1" applyFont="1" applyBorder="1" applyAlignment="1">
      <alignment horizontal="center" vertical="center" wrapText="1"/>
    </xf>
    <xf numFmtId="49" fontId="8" fillId="0" borderId="11" xfId="2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" xfId="2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left" vertical="center"/>
    </xf>
    <xf numFmtId="49" fontId="13" fillId="0" borderId="0" xfId="2" applyNumberFormat="1" applyFont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177" fontId="12" fillId="0" borderId="9" xfId="2" applyNumberFormat="1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178" fontId="12" fillId="0" borderId="2" xfId="2" applyNumberFormat="1" applyFont="1" applyBorder="1" applyAlignment="1">
      <alignment horizontal="center" vertical="center" wrapText="1"/>
    </xf>
    <xf numFmtId="49" fontId="12" fillId="0" borderId="4" xfId="2" applyNumberFormat="1" applyFont="1" applyBorder="1" applyAlignment="1">
      <alignment horizontal="center" vertical="center" wrapText="1"/>
    </xf>
    <xf numFmtId="49" fontId="12" fillId="0" borderId="8" xfId="2" applyNumberFormat="1" applyFont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177" fontId="12" fillId="0" borderId="9" xfId="0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181" fontId="12" fillId="0" borderId="4" xfId="0" applyNumberFormat="1" applyFont="1" applyBorder="1" applyAlignment="1">
      <alignment horizontal="center" vertical="center" wrapText="1"/>
    </xf>
    <xf numFmtId="181" fontId="12" fillId="0" borderId="9" xfId="0" applyNumberFormat="1" applyFont="1" applyBorder="1" applyAlignment="1">
      <alignment horizontal="center" vertical="center" wrapText="1"/>
    </xf>
    <xf numFmtId="181" fontId="12" fillId="0" borderId="8" xfId="0" applyNumberFormat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43" fontId="12" fillId="0" borderId="9" xfId="1" applyFont="1" applyBorder="1" applyAlignment="1">
      <alignment horizontal="center" vertical="center" wrapText="1"/>
    </xf>
    <xf numFmtId="43" fontId="12" fillId="0" borderId="8" xfId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vertical="center" wrapText="1"/>
    </xf>
    <xf numFmtId="43" fontId="12" fillId="0" borderId="9" xfId="1" applyFont="1" applyBorder="1" applyAlignment="1">
      <alignment vertical="center" wrapText="1"/>
    </xf>
    <xf numFmtId="43" fontId="12" fillId="0" borderId="8" xfId="1" applyFont="1" applyBorder="1" applyAlignment="1">
      <alignment vertical="center" wrapText="1"/>
    </xf>
    <xf numFmtId="177" fontId="12" fillId="0" borderId="4" xfId="0" applyNumberFormat="1" applyFont="1" applyBorder="1" applyAlignment="1">
      <alignment vertical="center" wrapText="1"/>
    </xf>
    <xf numFmtId="177" fontId="12" fillId="0" borderId="8" xfId="0" applyNumberFormat="1" applyFont="1" applyBorder="1" applyAlignment="1">
      <alignment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8" fontId="12" fillId="0" borderId="9" xfId="1" applyNumberFormat="1" applyFont="1" applyBorder="1" applyAlignment="1">
      <alignment horizontal="center" vertical="center" wrapText="1"/>
    </xf>
    <xf numFmtId="178" fontId="12" fillId="0" borderId="8" xfId="1" applyNumberFormat="1" applyFont="1" applyBorder="1" applyAlignment="1">
      <alignment horizontal="center" vertical="center" wrapText="1"/>
    </xf>
    <xf numFmtId="43" fontId="12" fillId="0" borderId="2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/>
    </xf>
    <xf numFmtId="0" fontId="9" fillId="0" borderId="6" xfId="2" applyBorder="1" applyAlignment="1">
      <alignment horizontal="center" vertical="center"/>
    </xf>
    <xf numFmtId="0" fontId="9" fillId="0" borderId="7" xfId="2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88" fontId="9" fillId="0" borderId="0" xfId="2" applyNumberFormat="1">
      <alignment vertical="center"/>
    </xf>
    <xf numFmtId="188" fontId="3" fillId="0" borderId="0" xfId="2" applyNumberFormat="1" applyFont="1" applyBorder="1" applyAlignment="1">
      <alignment horizontal="center" vertical="center"/>
    </xf>
    <xf numFmtId="188" fontId="5" fillId="0" borderId="2" xfId="2" applyNumberFormat="1" applyFont="1" applyBorder="1" applyAlignment="1">
      <alignment horizontal="center" vertical="center" wrapText="1"/>
    </xf>
    <xf numFmtId="188" fontId="8" fillId="0" borderId="2" xfId="1" applyNumberFormat="1" applyFont="1" applyBorder="1" applyAlignment="1">
      <alignment horizontal="right" vertical="center" wrapText="1"/>
    </xf>
    <xf numFmtId="188" fontId="8" fillId="2" borderId="2" xfId="1" applyNumberFormat="1" applyFont="1" applyFill="1" applyBorder="1" applyAlignment="1">
      <alignment horizontal="right" vertical="center" wrapText="1"/>
    </xf>
    <xf numFmtId="188" fontId="11" fillId="0" borderId="2" xfId="1" applyNumberFormat="1" applyFont="1" applyBorder="1" applyAlignment="1">
      <alignment horizontal="right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G14" sqref="G14"/>
    </sheetView>
  </sheetViews>
  <sheetFormatPr defaultColWidth="9" defaultRowHeight="13.5"/>
  <cols>
    <col min="1" max="8" width="11.75" customWidth="1"/>
    <col min="9" max="253" width="10" customWidth="1"/>
  </cols>
  <sheetData>
    <row r="1" spans="1:8" ht="28.15" customHeight="1">
      <c r="A1" s="69" t="s">
        <v>12</v>
      </c>
      <c r="B1" s="69"/>
      <c r="C1" s="72"/>
      <c r="D1" s="72"/>
      <c r="E1" s="1"/>
      <c r="F1" s="1"/>
      <c r="G1" s="71"/>
      <c r="H1" s="71"/>
    </row>
    <row r="2" spans="1:8" ht="29.25" customHeight="1">
      <c r="A2" s="73" t="s">
        <v>11</v>
      </c>
      <c r="B2" s="73"/>
      <c r="C2" s="73"/>
      <c r="D2" s="73"/>
      <c r="E2" s="73"/>
      <c r="F2" s="73"/>
      <c r="G2" s="73"/>
      <c r="H2" s="73"/>
    </row>
    <row r="3" spans="1:8" ht="24.75" customHeight="1">
      <c r="A3" s="2"/>
      <c r="B3" s="2"/>
      <c r="C3" s="70" t="s">
        <v>6</v>
      </c>
      <c r="D3" s="70"/>
      <c r="E3" s="3"/>
      <c r="F3" s="70" t="s">
        <v>7</v>
      </c>
      <c r="G3" s="70"/>
      <c r="H3" s="2"/>
    </row>
    <row r="4" spans="1:8" ht="25.9" customHeight="1">
      <c r="A4" s="68" t="s">
        <v>1</v>
      </c>
      <c r="B4" s="67" t="s">
        <v>2</v>
      </c>
      <c r="C4" s="67" t="s">
        <v>3</v>
      </c>
      <c r="D4" s="67"/>
      <c r="E4" s="68" t="s">
        <v>8</v>
      </c>
      <c r="F4" s="67"/>
      <c r="G4" s="67"/>
      <c r="H4" s="67" t="s">
        <v>5</v>
      </c>
    </row>
    <row r="5" spans="1:8" ht="30.6" customHeight="1">
      <c r="A5" s="67"/>
      <c r="B5" s="67"/>
      <c r="C5" s="4" t="s">
        <v>0</v>
      </c>
      <c r="D5" s="7" t="s">
        <v>10</v>
      </c>
      <c r="E5" s="4" t="s">
        <v>0</v>
      </c>
      <c r="F5" s="6" t="s">
        <v>9</v>
      </c>
      <c r="G5" s="7" t="s">
        <v>10</v>
      </c>
      <c r="H5" s="67"/>
    </row>
    <row r="6" spans="1:8" ht="25.9" customHeight="1">
      <c r="A6" s="4">
        <v>1</v>
      </c>
      <c r="B6" s="8" t="s">
        <v>13</v>
      </c>
      <c r="C6" s="4">
        <v>9</v>
      </c>
      <c r="D6" s="4">
        <v>51.866900000000001</v>
      </c>
      <c r="E6" s="4">
        <v>4</v>
      </c>
      <c r="F6" s="4">
        <v>26</v>
      </c>
      <c r="G6" s="4">
        <v>0.97977999999999998</v>
      </c>
      <c r="H6" s="4">
        <f>D6+G6</f>
        <v>52.846679999999999</v>
      </c>
    </row>
    <row r="7" spans="1:8" ht="31.5" customHeight="1">
      <c r="A7" s="67" t="s">
        <v>4</v>
      </c>
      <c r="B7" s="67"/>
      <c r="C7" s="4">
        <f>C6</f>
        <v>9</v>
      </c>
      <c r="D7" s="9">
        <f t="shared" ref="D7:G7" si="0">D6</f>
        <v>51.866900000000001</v>
      </c>
      <c r="E7" s="9">
        <f t="shared" si="0"/>
        <v>4</v>
      </c>
      <c r="F7" s="9">
        <f t="shared" si="0"/>
        <v>26</v>
      </c>
      <c r="G7" s="9">
        <f t="shared" si="0"/>
        <v>0.97977999999999998</v>
      </c>
      <c r="H7" s="9">
        <f>H6</f>
        <v>52.846679999999999</v>
      </c>
    </row>
    <row r="8" spans="1:8" ht="24.95" customHeight="1">
      <c r="A8" s="5"/>
      <c r="B8" s="5"/>
      <c r="C8" s="5"/>
      <c r="D8" s="5"/>
      <c r="E8" s="5"/>
      <c r="F8" s="5"/>
      <c r="G8" s="5"/>
      <c r="H8" s="5"/>
    </row>
  </sheetData>
  <mergeCells count="12">
    <mergeCell ref="A7:B7"/>
    <mergeCell ref="A4:A5"/>
    <mergeCell ref="B4:B5"/>
    <mergeCell ref="A1:B1"/>
    <mergeCell ref="F3:G3"/>
    <mergeCell ref="G1:H1"/>
    <mergeCell ref="C3:D3"/>
    <mergeCell ref="C4:D4"/>
    <mergeCell ref="E4:G4"/>
    <mergeCell ref="H4:H5"/>
    <mergeCell ref="C1:D1"/>
    <mergeCell ref="A2:H2"/>
  </mergeCells>
  <phoneticPr fontId="8" type="noConversion"/>
  <printOptions horizontalCentered="1"/>
  <pageMargins left="0.78740157480314965" right="0.9055118110236221" top="0.74803149606299213" bottom="0.74803149606299213" header="0.31496062992125984" footer="0.31496062992125984"/>
  <pageSetup paperSize="9" scale="12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72"/>
  <sheetViews>
    <sheetView tabSelected="1" topLeftCell="AK1" zoomScaleNormal="100" workbookViewId="0">
      <selection activeCell="S6" sqref="S6:S7"/>
    </sheetView>
  </sheetViews>
  <sheetFormatPr defaultRowHeight="13.5"/>
  <cols>
    <col min="1" max="1" width="4.75" style="30" customWidth="1"/>
    <col min="2" max="2" width="4.625" style="30" customWidth="1"/>
    <col min="3" max="3" width="3.875" style="30" customWidth="1"/>
    <col min="4" max="4" width="7.75" style="30" customWidth="1"/>
    <col min="5" max="5" width="7.25" style="30" customWidth="1"/>
    <col min="6" max="6" width="5.75" style="30" customWidth="1"/>
    <col min="7" max="7" width="6.25" style="30" customWidth="1"/>
    <col min="8" max="8" width="5.25" style="30" customWidth="1"/>
    <col min="9" max="11" width="6" style="30" bestFit="1" customWidth="1"/>
    <col min="12" max="12" width="5.5" style="30" customWidth="1"/>
    <col min="13" max="19" width="6" style="30" bestFit="1" customWidth="1"/>
    <col min="20" max="20" width="6.75" style="30" bestFit="1" customWidth="1"/>
    <col min="21" max="23" width="6" style="30" bestFit="1" customWidth="1"/>
    <col min="24" max="24" width="6.75" style="30" bestFit="1" customWidth="1"/>
    <col min="25" max="31" width="6" style="30" bestFit="1" customWidth="1"/>
    <col min="32" max="32" width="5.5" style="30" customWidth="1"/>
    <col min="33" max="48" width="6" style="30" bestFit="1" customWidth="1"/>
    <col min="49" max="52" width="6.75" style="30" bestFit="1" customWidth="1"/>
    <col min="53" max="53" width="7.125" style="30" customWidth="1"/>
    <col min="54" max="54" width="8.625" style="31" customWidth="1"/>
    <col min="55" max="55" width="8.625" style="30" customWidth="1"/>
    <col min="56" max="57" width="15.625" style="30" customWidth="1"/>
    <col min="58" max="256" width="8.875" style="30" customWidth="1"/>
    <col min="257" max="16384" width="9" style="10"/>
  </cols>
  <sheetData>
    <row r="1" spans="1:256" ht="18.75">
      <c r="A1" s="81"/>
      <c r="B1" s="81"/>
    </row>
    <row r="2" spans="1:256" ht="64.900000000000006" customHeight="1">
      <c r="A2" s="82" t="s">
        <v>43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</row>
    <row r="3" spans="1:256" ht="37.15" customHeight="1"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83" t="s">
        <v>6</v>
      </c>
      <c r="AE3" s="83"/>
      <c r="AF3" s="83"/>
      <c r="AG3" s="83"/>
      <c r="AH3" s="83"/>
      <c r="AI3" s="83"/>
      <c r="AJ3" s="83"/>
      <c r="AK3" s="83"/>
      <c r="AL3" s="83"/>
      <c r="AM3" s="34"/>
      <c r="AN3" s="33"/>
      <c r="AO3" s="33"/>
      <c r="AP3" s="33"/>
      <c r="AQ3" s="33"/>
      <c r="AR3" s="83" t="s">
        <v>7</v>
      </c>
      <c r="AS3" s="83"/>
      <c r="AT3" s="83"/>
      <c r="AU3" s="83"/>
      <c r="AV3" s="83"/>
      <c r="AW3" s="83"/>
      <c r="AX3" s="83"/>
      <c r="AY3" s="83"/>
      <c r="AZ3" s="32"/>
      <c r="BA3" s="32"/>
      <c r="BB3" s="35"/>
      <c r="BC3" s="36"/>
      <c r="BD3" s="36"/>
    </row>
    <row r="4" spans="1:256" ht="63.75" customHeight="1">
      <c r="A4" s="37" t="s">
        <v>1</v>
      </c>
      <c r="B4" s="37" t="s">
        <v>2</v>
      </c>
      <c r="C4" s="37" t="s">
        <v>16</v>
      </c>
      <c r="D4" s="37" t="s">
        <v>44</v>
      </c>
      <c r="E4" s="80" t="s">
        <v>45</v>
      </c>
      <c r="F4" s="80"/>
      <c r="G4" s="80"/>
      <c r="H4" s="80"/>
      <c r="I4" s="80" t="s">
        <v>46</v>
      </c>
      <c r="J4" s="80"/>
      <c r="K4" s="80"/>
      <c r="L4" s="80"/>
      <c r="M4" s="80" t="s">
        <v>47</v>
      </c>
      <c r="N4" s="80"/>
      <c r="O4" s="80"/>
      <c r="P4" s="80"/>
      <c r="Q4" s="80" t="s">
        <v>48</v>
      </c>
      <c r="R4" s="80"/>
      <c r="S4" s="80"/>
      <c r="T4" s="80"/>
      <c r="U4" s="80" t="s">
        <v>49</v>
      </c>
      <c r="V4" s="80"/>
      <c r="W4" s="80"/>
      <c r="X4" s="80"/>
      <c r="Y4" s="80" t="s">
        <v>50</v>
      </c>
      <c r="Z4" s="80"/>
      <c r="AA4" s="80"/>
      <c r="AB4" s="80"/>
      <c r="AC4" s="80" t="s">
        <v>51</v>
      </c>
      <c r="AD4" s="80"/>
      <c r="AE4" s="80"/>
      <c r="AF4" s="80"/>
      <c r="AG4" s="84" t="s">
        <v>52</v>
      </c>
      <c r="AH4" s="84"/>
      <c r="AI4" s="84"/>
      <c r="AJ4" s="84"/>
      <c r="AK4" s="80" t="s">
        <v>53</v>
      </c>
      <c r="AL4" s="80"/>
      <c r="AM4" s="80"/>
      <c r="AN4" s="80"/>
      <c r="AO4" s="80" t="s">
        <v>54</v>
      </c>
      <c r="AP4" s="80"/>
      <c r="AQ4" s="80"/>
      <c r="AR4" s="80"/>
      <c r="AS4" s="80" t="s">
        <v>55</v>
      </c>
      <c r="AT4" s="80"/>
      <c r="AU4" s="80"/>
      <c r="AV4" s="80"/>
      <c r="AW4" s="80" t="s">
        <v>56</v>
      </c>
      <c r="AX4" s="80"/>
      <c r="AY4" s="80"/>
      <c r="AZ4" s="80"/>
      <c r="BA4" s="37" t="s">
        <v>57</v>
      </c>
      <c r="BB4" s="38" t="s">
        <v>23</v>
      </c>
      <c r="BC4" s="37" t="s">
        <v>24</v>
      </c>
    </row>
    <row r="5" spans="1:256" ht="71.25" customHeight="1">
      <c r="A5" s="80" t="s">
        <v>111</v>
      </c>
      <c r="B5" s="80" t="s">
        <v>28</v>
      </c>
      <c r="C5" s="37" t="s">
        <v>17</v>
      </c>
      <c r="D5" s="22" t="s">
        <v>58</v>
      </c>
      <c r="E5" s="39" t="s">
        <v>25</v>
      </c>
      <c r="F5" s="39" t="s">
        <v>26</v>
      </c>
      <c r="G5" s="39" t="s">
        <v>27</v>
      </c>
      <c r="H5" s="39" t="s">
        <v>59</v>
      </c>
      <c r="I5" s="39" t="s">
        <v>25</v>
      </c>
      <c r="J5" s="39" t="s">
        <v>26</v>
      </c>
      <c r="K5" s="39" t="s">
        <v>27</v>
      </c>
      <c r="L5" s="39" t="s">
        <v>59</v>
      </c>
      <c r="M5" s="39" t="s">
        <v>25</v>
      </c>
      <c r="N5" s="39" t="s">
        <v>26</v>
      </c>
      <c r="O5" s="39" t="s">
        <v>27</v>
      </c>
      <c r="P5" s="39" t="s">
        <v>59</v>
      </c>
      <c r="Q5" s="39" t="s">
        <v>25</v>
      </c>
      <c r="R5" s="39" t="s">
        <v>26</v>
      </c>
      <c r="S5" s="39" t="s">
        <v>27</v>
      </c>
      <c r="T5" s="39" t="s">
        <v>59</v>
      </c>
      <c r="U5" s="39" t="s">
        <v>25</v>
      </c>
      <c r="V5" s="39" t="s">
        <v>26</v>
      </c>
      <c r="W5" s="39" t="s">
        <v>27</v>
      </c>
      <c r="X5" s="39" t="s">
        <v>59</v>
      </c>
      <c r="Y5" s="39" t="s">
        <v>25</v>
      </c>
      <c r="Z5" s="39" t="s">
        <v>26</v>
      </c>
      <c r="AA5" s="39" t="s">
        <v>27</v>
      </c>
      <c r="AB5" s="39" t="s">
        <v>59</v>
      </c>
      <c r="AC5" s="39" t="s">
        <v>25</v>
      </c>
      <c r="AD5" s="39" t="s">
        <v>26</v>
      </c>
      <c r="AE5" s="39" t="s">
        <v>27</v>
      </c>
      <c r="AF5" s="39" t="s">
        <v>59</v>
      </c>
      <c r="AG5" s="39" t="s">
        <v>25</v>
      </c>
      <c r="AH5" s="39" t="s">
        <v>26</v>
      </c>
      <c r="AI5" s="39" t="s">
        <v>27</v>
      </c>
      <c r="AJ5" s="39" t="s">
        <v>59</v>
      </c>
      <c r="AK5" s="39" t="s">
        <v>25</v>
      </c>
      <c r="AL5" s="39" t="s">
        <v>26</v>
      </c>
      <c r="AM5" s="39" t="s">
        <v>27</v>
      </c>
      <c r="AN5" s="39" t="s">
        <v>59</v>
      </c>
      <c r="AO5" s="39" t="s">
        <v>25</v>
      </c>
      <c r="AP5" s="39" t="s">
        <v>26</v>
      </c>
      <c r="AQ5" s="39" t="s">
        <v>27</v>
      </c>
      <c r="AR5" s="39" t="s">
        <v>59</v>
      </c>
      <c r="AS5" s="39" t="s">
        <v>25</v>
      </c>
      <c r="AT5" s="39" t="s">
        <v>26</v>
      </c>
      <c r="AU5" s="39" t="s">
        <v>27</v>
      </c>
      <c r="AV5" s="39" t="s">
        <v>59</v>
      </c>
      <c r="AW5" s="39" t="s">
        <v>25</v>
      </c>
      <c r="AX5" s="39" t="s">
        <v>26</v>
      </c>
      <c r="AY5" s="39" t="s">
        <v>27</v>
      </c>
      <c r="AZ5" s="39" t="s">
        <v>59</v>
      </c>
      <c r="BA5" s="74">
        <f>H6+L6+P6+T6+X6+AB6+AF6+AJ6+AN6+AR6+AV6+AZ6</f>
        <v>1149</v>
      </c>
      <c r="BB5" s="86">
        <f>(H10+L10+P10+T10+X10+AB10+AF10+AJ10+AN10+AR10+AV10+AZ10)</f>
        <v>18.770406000000005</v>
      </c>
      <c r="BC5" s="87">
        <f>BB5/2</f>
        <v>9.3852030000000024</v>
      </c>
    </row>
    <row r="6" spans="1:256" ht="71.25" customHeight="1">
      <c r="A6" s="80"/>
      <c r="B6" s="80"/>
      <c r="C6" s="88" t="s">
        <v>18</v>
      </c>
      <c r="D6" s="77" t="s">
        <v>60</v>
      </c>
      <c r="E6" s="74">
        <v>16</v>
      </c>
      <c r="F6" s="74" t="s">
        <v>61</v>
      </c>
      <c r="G6" s="74">
        <v>37</v>
      </c>
      <c r="H6" s="74">
        <v>80</v>
      </c>
      <c r="I6" s="74">
        <v>17</v>
      </c>
      <c r="J6" s="74">
        <v>31</v>
      </c>
      <c r="K6" s="74">
        <v>43</v>
      </c>
      <c r="L6" s="74">
        <v>91</v>
      </c>
      <c r="M6" s="74">
        <v>17</v>
      </c>
      <c r="N6" s="74">
        <v>32</v>
      </c>
      <c r="O6" s="74">
        <v>47</v>
      </c>
      <c r="P6" s="74">
        <v>96</v>
      </c>
      <c r="Q6" s="74">
        <v>17</v>
      </c>
      <c r="R6" s="74">
        <v>32</v>
      </c>
      <c r="S6" s="74">
        <v>48</v>
      </c>
      <c r="T6" s="74">
        <v>97</v>
      </c>
      <c r="U6" s="74">
        <v>17</v>
      </c>
      <c r="V6" s="74">
        <v>31</v>
      </c>
      <c r="W6" s="74">
        <v>51</v>
      </c>
      <c r="X6" s="74">
        <v>99</v>
      </c>
      <c r="Y6" s="74">
        <v>13</v>
      </c>
      <c r="Z6" s="74">
        <v>37</v>
      </c>
      <c r="AA6" s="74">
        <v>48</v>
      </c>
      <c r="AB6" s="74">
        <f>SUM(Y6:AA7)</f>
        <v>98</v>
      </c>
      <c r="AC6" s="74">
        <v>13</v>
      </c>
      <c r="AD6" s="74">
        <v>36</v>
      </c>
      <c r="AE6" s="74">
        <v>48</v>
      </c>
      <c r="AF6" s="74">
        <f>SUM(AC6:AE7)</f>
        <v>97</v>
      </c>
      <c r="AG6" s="74">
        <v>15</v>
      </c>
      <c r="AH6" s="74">
        <v>35</v>
      </c>
      <c r="AI6" s="74">
        <v>50</v>
      </c>
      <c r="AJ6" s="74">
        <f>SUM(AG6:AI7)</f>
        <v>100</v>
      </c>
      <c r="AK6" s="74">
        <v>15</v>
      </c>
      <c r="AL6" s="74">
        <v>35</v>
      </c>
      <c r="AM6" s="74">
        <v>50</v>
      </c>
      <c r="AN6" s="74">
        <f>SUM(AK6:AM7)</f>
        <v>100</v>
      </c>
      <c r="AO6" s="74">
        <v>13</v>
      </c>
      <c r="AP6" s="74">
        <v>35</v>
      </c>
      <c r="AQ6" s="74">
        <v>49</v>
      </c>
      <c r="AR6" s="74">
        <f>SUM(AO6:AQ7)</f>
        <v>97</v>
      </c>
      <c r="AS6" s="74">
        <v>10</v>
      </c>
      <c r="AT6" s="74">
        <v>28</v>
      </c>
      <c r="AU6" s="74">
        <v>58</v>
      </c>
      <c r="AV6" s="74">
        <f>SUM(AS6:AU7)</f>
        <v>96</v>
      </c>
      <c r="AW6" s="74">
        <v>10</v>
      </c>
      <c r="AX6" s="74">
        <v>28</v>
      </c>
      <c r="AY6" s="74">
        <v>60</v>
      </c>
      <c r="AZ6" s="74">
        <f>SUM(AW6:AY7)</f>
        <v>98</v>
      </c>
      <c r="BA6" s="85"/>
      <c r="BB6" s="86"/>
      <c r="BC6" s="87"/>
    </row>
    <row r="7" spans="1:256" ht="9.75" customHeight="1">
      <c r="A7" s="80"/>
      <c r="B7" s="80"/>
      <c r="C7" s="89"/>
      <c r="D7" s="78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85"/>
      <c r="BB7" s="86"/>
      <c r="BC7" s="87"/>
    </row>
    <row r="8" spans="1:256" ht="71.25" customHeight="1">
      <c r="A8" s="80"/>
      <c r="B8" s="80"/>
      <c r="C8" s="37" t="s">
        <v>62</v>
      </c>
      <c r="D8" s="23" t="s">
        <v>63</v>
      </c>
      <c r="E8" s="76" t="s">
        <v>64</v>
      </c>
      <c r="F8" s="76"/>
      <c r="G8" s="76"/>
      <c r="H8" s="76"/>
      <c r="I8" s="76" t="s">
        <v>65</v>
      </c>
      <c r="J8" s="76"/>
      <c r="K8" s="76"/>
      <c r="L8" s="76"/>
      <c r="M8" s="76" t="s">
        <v>66</v>
      </c>
      <c r="N8" s="76"/>
      <c r="O8" s="76"/>
      <c r="P8" s="76"/>
      <c r="Q8" s="76" t="s">
        <v>67</v>
      </c>
      <c r="R8" s="76"/>
      <c r="S8" s="76"/>
      <c r="T8" s="76"/>
      <c r="U8" s="76" t="s">
        <v>68</v>
      </c>
      <c r="V8" s="76"/>
      <c r="W8" s="76"/>
      <c r="X8" s="76"/>
      <c r="Y8" s="76" t="s">
        <v>69</v>
      </c>
      <c r="Z8" s="76"/>
      <c r="AA8" s="76"/>
      <c r="AB8" s="76"/>
      <c r="AC8" s="76" t="s">
        <v>70</v>
      </c>
      <c r="AD8" s="76"/>
      <c r="AE8" s="76"/>
      <c r="AF8" s="76"/>
      <c r="AG8" s="76" t="s">
        <v>71</v>
      </c>
      <c r="AH8" s="76"/>
      <c r="AI8" s="76"/>
      <c r="AJ8" s="76"/>
      <c r="AK8" s="76" t="s">
        <v>72</v>
      </c>
      <c r="AL8" s="76"/>
      <c r="AM8" s="76"/>
      <c r="AN8" s="76"/>
      <c r="AO8" s="76" t="s">
        <v>73</v>
      </c>
      <c r="AP8" s="76"/>
      <c r="AQ8" s="76"/>
      <c r="AR8" s="76"/>
      <c r="AS8" s="76" t="s">
        <v>74</v>
      </c>
      <c r="AT8" s="76"/>
      <c r="AU8" s="76"/>
      <c r="AV8" s="76"/>
      <c r="AW8" s="76" t="s">
        <v>75</v>
      </c>
      <c r="AX8" s="76"/>
      <c r="AY8" s="76"/>
      <c r="AZ8" s="76"/>
      <c r="BA8" s="85"/>
      <c r="BB8" s="86"/>
      <c r="BC8" s="87"/>
    </row>
    <row r="9" spans="1:256" ht="71.25" customHeight="1">
      <c r="A9" s="80"/>
      <c r="B9" s="80"/>
      <c r="C9" s="37" t="s">
        <v>76</v>
      </c>
      <c r="D9" s="37" t="s">
        <v>77</v>
      </c>
      <c r="E9" s="39" t="s">
        <v>25</v>
      </c>
      <c r="F9" s="39" t="s">
        <v>26</v>
      </c>
      <c r="G9" s="39" t="s">
        <v>27</v>
      </c>
      <c r="H9" s="39" t="s">
        <v>59</v>
      </c>
      <c r="I9" s="39" t="s">
        <v>25</v>
      </c>
      <c r="J9" s="39" t="s">
        <v>26</v>
      </c>
      <c r="K9" s="39" t="s">
        <v>27</v>
      </c>
      <c r="L9" s="39" t="s">
        <v>59</v>
      </c>
      <c r="M9" s="39" t="s">
        <v>25</v>
      </c>
      <c r="N9" s="39" t="s">
        <v>26</v>
      </c>
      <c r="O9" s="39" t="s">
        <v>27</v>
      </c>
      <c r="P9" s="39" t="s">
        <v>59</v>
      </c>
      <c r="Q9" s="39" t="s">
        <v>25</v>
      </c>
      <c r="R9" s="39" t="s">
        <v>26</v>
      </c>
      <c r="S9" s="39" t="s">
        <v>27</v>
      </c>
      <c r="T9" s="39" t="s">
        <v>59</v>
      </c>
      <c r="U9" s="39" t="s">
        <v>25</v>
      </c>
      <c r="V9" s="39" t="s">
        <v>26</v>
      </c>
      <c r="W9" s="39" t="s">
        <v>27</v>
      </c>
      <c r="X9" s="39" t="s">
        <v>59</v>
      </c>
      <c r="Y9" s="39" t="s">
        <v>25</v>
      </c>
      <c r="Z9" s="39" t="s">
        <v>26</v>
      </c>
      <c r="AA9" s="39" t="s">
        <v>27</v>
      </c>
      <c r="AB9" s="39" t="s">
        <v>59</v>
      </c>
      <c r="AC9" s="39" t="s">
        <v>25</v>
      </c>
      <c r="AD9" s="39" t="s">
        <v>26</v>
      </c>
      <c r="AE9" s="39" t="s">
        <v>27</v>
      </c>
      <c r="AF9" s="39" t="s">
        <v>59</v>
      </c>
      <c r="AG9" s="39" t="s">
        <v>25</v>
      </c>
      <c r="AH9" s="39" t="s">
        <v>26</v>
      </c>
      <c r="AI9" s="39" t="s">
        <v>27</v>
      </c>
      <c r="AJ9" s="39" t="s">
        <v>59</v>
      </c>
      <c r="AK9" s="39" t="s">
        <v>25</v>
      </c>
      <c r="AL9" s="39" t="s">
        <v>26</v>
      </c>
      <c r="AM9" s="39" t="s">
        <v>27</v>
      </c>
      <c r="AN9" s="39" t="s">
        <v>59</v>
      </c>
      <c r="AO9" s="39" t="s">
        <v>25</v>
      </c>
      <c r="AP9" s="39" t="s">
        <v>26</v>
      </c>
      <c r="AQ9" s="39" t="s">
        <v>27</v>
      </c>
      <c r="AR9" s="39" t="s">
        <v>59</v>
      </c>
      <c r="AS9" s="39" t="s">
        <v>25</v>
      </c>
      <c r="AT9" s="39" t="s">
        <v>26</v>
      </c>
      <c r="AU9" s="39" t="s">
        <v>27</v>
      </c>
      <c r="AV9" s="39" t="s">
        <v>59</v>
      </c>
      <c r="AW9" s="39" t="s">
        <v>25</v>
      </c>
      <c r="AX9" s="39" t="s">
        <v>26</v>
      </c>
      <c r="AY9" s="39" t="s">
        <v>27</v>
      </c>
      <c r="AZ9" s="39" t="s">
        <v>59</v>
      </c>
      <c r="BA9" s="85"/>
      <c r="BB9" s="86"/>
      <c r="BC9" s="87"/>
    </row>
    <row r="10" spans="1:256" ht="71.25" customHeight="1">
      <c r="A10" s="80"/>
      <c r="B10" s="80"/>
      <c r="C10" s="37" t="s">
        <v>78</v>
      </c>
      <c r="D10" s="37" t="s">
        <v>79</v>
      </c>
      <c r="E10" s="41">
        <v>0.16</v>
      </c>
      <c r="F10" s="41">
        <v>0.40500000000000003</v>
      </c>
      <c r="G10" s="41">
        <v>0.74</v>
      </c>
      <c r="H10" s="42">
        <v>1.3049999999999999</v>
      </c>
      <c r="I10" s="42">
        <v>0.17</v>
      </c>
      <c r="J10" s="42">
        <v>0.46500000000000002</v>
      </c>
      <c r="K10" s="42">
        <v>0.86</v>
      </c>
      <c r="L10" s="42">
        <v>1.4950000000000001</v>
      </c>
      <c r="M10" s="41">
        <v>0.17</v>
      </c>
      <c r="N10" s="41">
        <v>0.48</v>
      </c>
      <c r="O10" s="41">
        <v>0.94</v>
      </c>
      <c r="P10" s="41">
        <v>1.59</v>
      </c>
      <c r="Q10" s="41">
        <v>0.17</v>
      </c>
      <c r="R10" s="41">
        <v>0.48</v>
      </c>
      <c r="S10" s="41">
        <v>0.96</v>
      </c>
      <c r="T10" s="41">
        <v>1.61</v>
      </c>
      <c r="U10" s="41">
        <v>0.17</v>
      </c>
      <c r="V10" s="41">
        <v>0.46500000000000002</v>
      </c>
      <c r="W10" s="41">
        <v>1.02</v>
      </c>
      <c r="X10" s="42">
        <v>1.655</v>
      </c>
      <c r="Y10" s="42">
        <f>1293.34/10000</f>
        <v>0.129334</v>
      </c>
      <c r="Z10" s="42">
        <f>5200/10000</f>
        <v>0.52</v>
      </c>
      <c r="AA10" s="42">
        <f>8739.98/10000</f>
        <v>0.87399799999999994</v>
      </c>
      <c r="AB10" s="42">
        <f>SUM(Y10:AA10)</f>
        <v>1.5233319999999999</v>
      </c>
      <c r="AC10" s="42">
        <f>1267.74/10000</f>
        <v>0.126774</v>
      </c>
      <c r="AD10" s="42">
        <f>5250/10000</f>
        <v>0.52500000000000002</v>
      </c>
      <c r="AE10" s="42">
        <f>9225.81/10000</f>
        <v>0.92258099999999998</v>
      </c>
      <c r="AF10" s="42">
        <f>SUM(AC10:AE10)</f>
        <v>1.5743550000000002</v>
      </c>
      <c r="AG10" s="42">
        <f>1400/10000</f>
        <v>0.14000000000000001</v>
      </c>
      <c r="AH10" s="42">
        <f>4930.64/10000</f>
        <v>0.49306400000000006</v>
      </c>
      <c r="AI10" s="42">
        <f>9270.97/10000</f>
        <v>0.92709699999999995</v>
      </c>
      <c r="AJ10" s="42">
        <f>SUM(AG10:AI10)</f>
        <v>1.5601609999999999</v>
      </c>
      <c r="AK10" s="42">
        <f>1336.66/10000</f>
        <v>0.13366600000000001</v>
      </c>
      <c r="AL10" s="42">
        <f>5100/10000</f>
        <v>0.51</v>
      </c>
      <c r="AM10" s="42">
        <f>9433.32/10000</f>
        <v>0.94333199999999995</v>
      </c>
      <c r="AN10" s="42">
        <f>SUM(AK10:AM10)</f>
        <v>1.5869979999999999</v>
      </c>
      <c r="AO10" s="42">
        <f>1264.52/10000</f>
        <v>0.12645200000000001</v>
      </c>
      <c r="AP10" s="42">
        <f>5080.65/10000</f>
        <v>0.50806499999999999</v>
      </c>
      <c r="AQ10" s="42">
        <f>9303.22/10000</f>
        <v>0.93032199999999998</v>
      </c>
      <c r="AR10" s="42">
        <f>SUM(AO10:AQ10)</f>
        <v>1.5648390000000001</v>
      </c>
      <c r="AS10" s="42">
        <f>1106.67/10000</f>
        <v>0.110667</v>
      </c>
      <c r="AT10" s="42">
        <f>4350/10000</f>
        <v>0.435</v>
      </c>
      <c r="AU10" s="42">
        <f>10866.68/10000</f>
        <v>1.086668</v>
      </c>
      <c r="AV10" s="42">
        <f>SUM(AS10:AU10)</f>
        <v>1.6323349999999999</v>
      </c>
      <c r="AW10" s="42">
        <f>980.64/10000</f>
        <v>9.8063999999999998E-2</v>
      </c>
      <c r="AX10" s="42">
        <f>4088.7/10000</f>
        <v>0.40886999999999996</v>
      </c>
      <c r="AY10" s="42">
        <f>11664.52/10000</f>
        <v>1.166452</v>
      </c>
      <c r="AZ10" s="42">
        <f>SUM(AW10:AY10)</f>
        <v>1.673386</v>
      </c>
      <c r="BA10" s="75"/>
      <c r="BB10" s="86"/>
      <c r="BC10" s="87"/>
    </row>
    <row r="11" spans="1:256" customFormat="1" ht="63.75" customHeight="1">
      <c r="A11" s="43" t="s">
        <v>1</v>
      </c>
      <c r="B11" s="43" t="s">
        <v>2</v>
      </c>
      <c r="C11" s="43" t="s">
        <v>16</v>
      </c>
      <c r="D11" s="43" t="s">
        <v>80</v>
      </c>
      <c r="E11" s="79" t="s">
        <v>45</v>
      </c>
      <c r="F11" s="79"/>
      <c r="G11" s="79"/>
      <c r="H11" s="79"/>
      <c r="I11" s="79" t="s">
        <v>46</v>
      </c>
      <c r="J11" s="79"/>
      <c r="K11" s="79"/>
      <c r="L11" s="79"/>
      <c r="M11" s="79" t="s">
        <v>47</v>
      </c>
      <c r="N11" s="79"/>
      <c r="O11" s="79"/>
      <c r="P11" s="79"/>
      <c r="Q11" s="79" t="s">
        <v>48</v>
      </c>
      <c r="R11" s="79"/>
      <c r="S11" s="79"/>
      <c r="T11" s="79"/>
      <c r="U11" s="79" t="s">
        <v>49</v>
      </c>
      <c r="V11" s="79"/>
      <c r="W11" s="79"/>
      <c r="X11" s="79"/>
      <c r="Y11" s="79" t="s">
        <v>50</v>
      </c>
      <c r="Z11" s="79"/>
      <c r="AA11" s="79"/>
      <c r="AB11" s="79"/>
      <c r="AC11" s="79" t="s">
        <v>51</v>
      </c>
      <c r="AD11" s="79"/>
      <c r="AE11" s="79"/>
      <c r="AF11" s="79"/>
      <c r="AG11" s="93" t="s">
        <v>52</v>
      </c>
      <c r="AH11" s="93"/>
      <c r="AI11" s="93"/>
      <c r="AJ11" s="93"/>
      <c r="AK11" s="79" t="s">
        <v>53</v>
      </c>
      <c r="AL11" s="79"/>
      <c r="AM11" s="79"/>
      <c r="AN11" s="79"/>
      <c r="AO11" s="79" t="s">
        <v>54</v>
      </c>
      <c r="AP11" s="79"/>
      <c r="AQ11" s="79"/>
      <c r="AR11" s="79"/>
      <c r="AS11" s="79" t="s">
        <v>55</v>
      </c>
      <c r="AT11" s="79"/>
      <c r="AU11" s="79"/>
      <c r="AV11" s="79"/>
      <c r="AW11" s="79" t="s">
        <v>56</v>
      </c>
      <c r="AX11" s="79"/>
      <c r="AY11" s="79"/>
      <c r="AZ11" s="79"/>
      <c r="BA11" s="43" t="s">
        <v>57</v>
      </c>
      <c r="BB11" s="43" t="s">
        <v>23</v>
      </c>
      <c r="BC11" s="43" t="s">
        <v>24</v>
      </c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customFormat="1" ht="64.5" customHeight="1">
      <c r="A12" s="79" t="s">
        <v>112</v>
      </c>
      <c r="B12" s="79" t="s">
        <v>81</v>
      </c>
      <c r="C12" s="43" t="s">
        <v>17</v>
      </c>
      <c r="D12" s="45" t="s">
        <v>82</v>
      </c>
      <c r="E12" s="46" t="s">
        <v>25</v>
      </c>
      <c r="F12" s="46" t="s">
        <v>26</v>
      </c>
      <c r="G12" s="46" t="s">
        <v>27</v>
      </c>
      <c r="H12" s="46" t="s">
        <v>59</v>
      </c>
      <c r="I12" s="46" t="s">
        <v>25</v>
      </c>
      <c r="J12" s="46" t="s">
        <v>26</v>
      </c>
      <c r="K12" s="46" t="s">
        <v>27</v>
      </c>
      <c r="L12" s="46" t="s">
        <v>59</v>
      </c>
      <c r="M12" s="46" t="s">
        <v>25</v>
      </c>
      <c r="N12" s="46" t="s">
        <v>26</v>
      </c>
      <c r="O12" s="46" t="s">
        <v>27</v>
      </c>
      <c r="P12" s="46" t="s">
        <v>59</v>
      </c>
      <c r="Q12" s="46" t="s">
        <v>25</v>
      </c>
      <c r="R12" s="46" t="s">
        <v>26</v>
      </c>
      <c r="S12" s="46" t="s">
        <v>27</v>
      </c>
      <c r="T12" s="46" t="s">
        <v>59</v>
      </c>
      <c r="U12" s="46" t="s">
        <v>25</v>
      </c>
      <c r="V12" s="46" t="s">
        <v>26</v>
      </c>
      <c r="W12" s="46" t="s">
        <v>27</v>
      </c>
      <c r="X12" s="46" t="s">
        <v>59</v>
      </c>
      <c r="Y12" s="46" t="s">
        <v>25</v>
      </c>
      <c r="Z12" s="46" t="s">
        <v>26</v>
      </c>
      <c r="AA12" s="46" t="s">
        <v>27</v>
      </c>
      <c r="AB12" s="46" t="s">
        <v>59</v>
      </c>
      <c r="AC12" s="46" t="s">
        <v>25</v>
      </c>
      <c r="AD12" s="46" t="s">
        <v>26</v>
      </c>
      <c r="AE12" s="46" t="s">
        <v>27</v>
      </c>
      <c r="AF12" s="46" t="s">
        <v>59</v>
      </c>
      <c r="AG12" s="46" t="s">
        <v>25</v>
      </c>
      <c r="AH12" s="46" t="s">
        <v>26</v>
      </c>
      <c r="AI12" s="46" t="s">
        <v>27</v>
      </c>
      <c r="AJ12" s="46" t="s">
        <v>59</v>
      </c>
      <c r="AK12" s="46" t="s">
        <v>25</v>
      </c>
      <c r="AL12" s="46" t="s">
        <v>26</v>
      </c>
      <c r="AM12" s="46" t="s">
        <v>27</v>
      </c>
      <c r="AN12" s="46" t="s">
        <v>59</v>
      </c>
      <c r="AO12" s="46" t="s">
        <v>25</v>
      </c>
      <c r="AP12" s="46" t="s">
        <v>26</v>
      </c>
      <c r="AQ12" s="46" t="s">
        <v>27</v>
      </c>
      <c r="AR12" s="46" t="s">
        <v>59</v>
      </c>
      <c r="AS12" s="46" t="s">
        <v>25</v>
      </c>
      <c r="AT12" s="46" t="s">
        <v>26</v>
      </c>
      <c r="AU12" s="46" t="s">
        <v>27</v>
      </c>
      <c r="AV12" s="46" t="s">
        <v>59</v>
      </c>
      <c r="AW12" s="46" t="s">
        <v>25</v>
      </c>
      <c r="AX12" s="46" t="s">
        <v>26</v>
      </c>
      <c r="AY12" s="46" t="s">
        <v>27</v>
      </c>
      <c r="AZ12" s="46" t="s">
        <v>59</v>
      </c>
      <c r="BA12" s="90">
        <f>H13+L13+P13+T13+X13+AB13+AF13+AJ13+AN13+AR13+AV13+AZ13</f>
        <v>1399</v>
      </c>
      <c r="BB12" s="86">
        <f>(H17+L17+P17+T17+X17+AB17+AF17+AJ17+AN17+AR17+AV17+AZ17)</f>
        <v>26.773311999999997</v>
      </c>
      <c r="BC12" s="94">
        <f>BB12/2</f>
        <v>13.386655999999999</v>
      </c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customFormat="1" ht="36.75" customHeight="1">
      <c r="A13" s="79"/>
      <c r="B13" s="79"/>
      <c r="C13" s="95" t="s">
        <v>18</v>
      </c>
      <c r="D13" s="97" t="s">
        <v>83</v>
      </c>
      <c r="E13" s="90">
        <v>0</v>
      </c>
      <c r="F13" s="90">
        <v>1</v>
      </c>
      <c r="G13" s="90">
        <v>95</v>
      </c>
      <c r="H13" s="90">
        <v>96</v>
      </c>
      <c r="I13" s="90"/>
      <c r="J13" s="90">
        <v>1</v>
      </c>
      <c r="K13" s="90">
        <v>97</v>
      </c>
      <c r="L13" s="95" t="s">
        <v>84</v>
      </c>
      <c r="M13" s="90"/>
      <c r="N13" s="90">
        <v>1</v>
      </c>
      <c r="O13" s="90">
        <v>111</v>
      </c>
      <c r="P13" s="90">
        <v>112</v>
      </c>
      <c r="Q13" s="90"/>
      <c r="R13" s="90">
        <v>1</v>
      </c>
      <c r="S13" s="90">
        <v>114</v>
      </c>
      <c r="T13" s="90">
        <v>115</v>
      </c>
      <c r="U13" s="90"/>
      <c r="V13" s="90">
        <v>1</v>
      </c>
      <c r="W13" s="90">
        <v>116</v>
      </c>
      <c r="X13" s="90">
        <v>117</v>
      </c>
      <c r="Y13" s="90"/>
      <c r="Z13" s="90">
        <v>3</v>
      </c>
      <c r="AA13" s="90">
        <v>117</v>
      </c>
      <c r="AB13" s="90">
        <v>120</v>
      </c>
      <c r="AC13" s="90"/>
      <c r="AD13" s="90">
        <v>4</v>
      </c>
      <c r="AE13" s="90">
        <v>118</v>
      </c>
      <c r="AF13" s="90">
        <v>122</v>
      </c>
      <c r="AG13" s="90"/>
      <c r="AH13" s="90">
        <v>4</v>
      </c>
      <c r="AI13" s="90">
        <v>120</v>
      </c>
      <c r="AJ13" s="90">
        <v>124</v>
      </c>
      <c r="AK13" s="90"/>
      <c r="AL13" s="90">
        <v>4</v>
      </c>
      <c r="AM13" s="90">
        <v>118</v>
      </c>
      <c r="AN13" s="90">
        <v>122</v>
      </c>
      <c r="AO13" s="90"/>
      <c r="AP13" s="90">
        <v>4</v>
      </c>
      <c r="AQ13" s="90">
        <v>119</v>
      </c>
      <c r="AR13" s="90">
        <v>123</v>
      </c>
      <c r="AS13" s="90"/>
      <c r="AT13" s="90">
        <v>3</v>
      </c>
      <c r="AU13" s="90">
        <v>125</v>
      </c>
      <c r="AV13" s="90">
        <v>128</v>
      </c>
      <c r="AW13" s="90"/>
      <c r="AX13" s="90">
        <v>4</v>
      </c>
      <c r="AY13" s="90">
        <v>118</v>
      </c>
      <c r="AZ13" s="90">
        <v>122</v>
      </c>
      <c r="BA13" s="91"/>
      <c r="BB13" s="86"/>
      <c r="BC13" s="9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customFormat="1" ht="33" customHeight="1">
      <c r="A14" s="79"/>
      <c r="B14" s="79"/>
      <c r="C14" s="96"/>
      <c r="D14" s="98"/>
      <c r="E14" s="92"/>
      <c r="F14" s="92"/>
      <c r="G14" s="92"/>
      <c r="H14" s="92"/>
      <c r="I14" s="92"/>
      <c r="J14" s="92"/>
      <c r="K14" s="92"/>
      <c r="L14" s="96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1"/>
      <c r="BB14" s="86"/>
      <c r="BC14" s="9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customFormat="1" ht="50.25" customHeight="1">
      <c r="A15" s="79"/>
      <c r="B15" s="79"/>
      <c r="C15" s="43" t="s">
        <v>62</v>
      </c>
      <c r="D15" s="47" t="s">
        <v>85</v>
      </c>
      <c r="E15" s="99" t="s">
        <v>64</v>
      </c>
      <c r="F15" s="99"/>
      <c r="G15" s="99"/>
      <c r="H15" s="99"/>
      <c r="I15" s="99" t="s">
        <v>65</v>
      </c>
      <c r="J15" s="99"/>
      <c r="K15" s="99"/>
      <c r="L15" s="99"/>
      <c r="M15" s="99" t="s">
        <v>66</v>
      </c>
      <c r="N15" s="99"/>
      <c r="O15" s="99"/>
      <c r="P15" s="99"/>
      <c r="Q15" s="99" t="s">
        <v>67</v>
      </c>
      <c r="R15" s="99"/>
      <c r="S15" s="99"/>
      <c r="T15" s="99"/>
      <c r="U15" s="99" t="s">
        <v>68</v>
      </c>
      <c r="V15" s="99"/>
      <c r="W15" s="99"/>
      <c r="X15" s="99"/>
      <c r="Y15" s="99" t="s">
        <v>69</v>
      </c>
      <c r="Z15" s="99"/>
      <c r="AA15" s="99"/>
      <c r="AB15" s="99"/>
      <c r="AC15" s="99" t="s">
        <v>70</v>
      </c>
      <c r="AD15" s="99"/>
      <c r="AE15" s="99"/>
      <c r="AF15" s="99"/>
      <c r="AG15" s="99" t="s">
        <v>71</v>
      </c>
      <c r="AH15" s="99"/>
      <c r="AI15" s="99"/>
      <c r="AJ15" s="99"/>
      <c r="AK15" s="99" t="s">
        <v>86</v>
      </c>
      <c r="AL15" s="99"/>
      <c r="AM15" s="99"/>
      <c r="AN15" s="99"/>
      <c r="AO15" s="99" t="s">
        <v>73</v>
      </c>
      <c r="AP15" s="99"/>
      <c r="AQ15" s="99"/>
      <c r="AR15" s="99"/>
      <c r="AS15" s="99" t="s">
        <v>74</v>
      </c>
      <c r="AT15" s="99"/>
      <c r="AU15" s="99"/>
      <c r="AV15" s="99"/>
      <c r="AW15" s="99" t="s">
        <v>75</v>
      </c>
      <c r="AX15" s="99"/>
      <c r="AY15" s="99"/>
      <c r="AZ15" s="99"/>
      <c r="BA15" s="91"/>
      <c r="BB15" s="86"/>
      <c r="BC15" s="9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customFormat="1" ht="63" customHeight="1">
      <c r="A16" s="79"/>
      <c r="B16" s="79"/>
      <c r="C16" s="43" t="s">
        <v>76</v>
      </c>
      <c r="D16" s="43" t="s">
        <v>87</v>
      </c>
      <c r="E16" s="46" t="s">
        <v>25</v>
      </c>
      <c r="F16" s="46" t="s">
        <v>26</v>
      </c>
      <c r="G16" s="46" t="s">
        <v>27</v>
      </c>
      <c r="H16" s="46" t="s">
        <v>59</v>
      </c>
      <c r="I16" s="46" t="s">
        <v>25</v>
      </c>
      <c r="J16" s="46" t="s">
        <v>26</v>
      </c>
      <c r="K16" s="46" t="s">
        <v>27</v>
      </c>
      <c r="L16" s="46" t="s">
        <v>59</v>
      </c>
      <c r="M16" s="46" t="s">
        <v>25</v>
      </c>
      <c r="N16" s="46" t="s">
        <v>26</v>
      </c>
      <c r="O16" s="46" t="s">
        <v>27</v>
      </c>
      <c r="P16" s="46" t="s">
        <v>59</v>
      </c>
      <c r="Q16" s="46" t="s">
        <v>25</v>
      </c>
      <c r="R16" s="46" t="s">
        <v>26</v>
      </c>
      <c r="S16" s="46" t="s">
        <v>27</v>
      </c>
      <c r="T16" s="46" t="s">
        <v>59</v>
      </c>
      <c r="U16" s="46" t="s">
        <v>25</v>
      </c>
      <c r="V16" s="46" t="s">
        <v>26</v>
      </c>
      <c r="W16" s="46" t="s">
        <v>27</v>
      </c>
      <c r="X16" s="46" t="s">
        <v>59</v>
      </c>
      <c r="Y16" s="46" t="s">
        <v>25</v>
      </c>
      <c r="Z16" s="46" t="s">
        <v>26</v>
      </c>
      <c r="AA16" s="46" t="s">
        <v>27</v>
      </c>
      <c r="AB16" s="46" t="s">
        <v>59</v>
      </c>
      <c r="AC16" s="46" t="s">
        <v>25</v>
      </c>
      <c r="AD16" s="46" t="s">
        <v>26</v>
      </c>
      <c r="AE16" s="46" t="s">
        <v>27</v>
      </c>
      <c r="AF16" s="46" t="s">
        <v>59</v>
      </c>
      <c r="AG16" s="46" t="s">
        <v>25</v>
      </c>
      <c r="AH16" s="46" t="s">
        <v>26</v>
      </c>
      <c r="AI16" s="46" t="s">
        <v>27</v>
      </c>
      <c r="AJ16" s="46" t="s">
        <v>59</v>
      </c>
      <c r="AK16" s="46" t="s">
        <v>25</v>
      </c>
      <c r="AL16" s="46" t="s">
        <v>26</v>
      </c>
      <c r="AM16" s="46" t="s">
        <v>27</v>
      </c>
      <c r="AN16" s="46" t="s">
        <v>59</v>
      </c>
      <c r="AO16" s="46" t="s">
        <v>25</v>
      </c>
      <c r="AP16" s="46" t="s">
        <v>26</v>
      </c>
      <c r="AQ16" s="46" t="s">
        <v>27</v>
      </c>
      <c r="AR16" s="46" t="s">
        <v>59</v>
      </c>
      <c r="AS16" s="46" t="s">
        <v>25</v>
      </c>
      <c r="AT16" s="46" t="s">
        <v>26</v>
      </c>
      <c r="AU16" s="46" t="s">
        <v>27</v>
      </c>
      <c r="AV16" s="46" t="s">
        <v>59</v>
      </c>
      <c r="AW16" s="46" t="s">
        <v>25</v>
      </c>
      <c r="AX16" s="46" t="s">
        <v>26</v>
      </c>
      <c r="AY16" s="46" t="s">
        <v>27</v>
      </c>
      <c r="AZ16" s="46" t="s">
        <v>59</v>
      </c>
      <c r="BA16" s="91"/>
      <c r="BB16" s="86"/>
      <c r="BC16" s="9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customFormat="1" ht="64.5" customHeight="1">
      <c r="A17" s="79"/>
      <c r="B17" s="79"/>
      <c r="C17" s="43" t="s">
        <v>88</v>
      </c>
      <c r="D17" s="43" t="s">
        <v>89</v>
      </c>
      <c r="E17" s="48"/>
      <c r="F17" s="41">
        <f>150/10000</f>
        <v>1.4999999999999999E-2</v>
      </c>
      <c r="G17" s="41">
        <v>1.9</v>
      </c>
      <c r="H17" s="40">
        <f>F17+G17</f>
        <v>1.9149999999999998</v>
      </c>
      <c r="I17" s="41"/>
      <c r="J17" s="41">
        <v>1.4999999999999999E-2</v>
      </c>
      <c r="K17" s="41">
        <v>1.94</v>
      </c>
      <c r="L17" s="40">
        <f>J17+K17</f>
        <v>1.9549999999999998</v>
      </c>
      <c r="M17" s="41"/>
      <c r="N17" s="42">
        <v>1.4999999999999999E-2</v>
      </c>
      <c r="O17" s="42">
        <v>2.2200000000000002</v>
      </c>
      <c r="P17" s="42">
        <f>N17+O17</f>
        <v>2.2350000000000003</v>
      </c>
      <c r="Q17" s="41"/>
      <c r="R17" s="42">
        <v>1.4999999999999999E-2</v>
      </c>
      <c r="S17" s="42">
        <v>2.2799999999999998</v>
      </c>
      <c r="T17" s="42">
        <f>S17+R17</f>
        <v>2.2949999999999999</v>
      </c>
      <c r="U17" s="41"/>
      <c r="V17" s="42">
        <v>1.4999999999999999E-2</v>
      </c>
      <c r="W17" s="42">
        <v>2.3199999999999998</v>
      </c>
      <c r="X17" s="42">
        <f>V17+W17</f>
        <v>2.335</v>
      </c>
      <c r="Y17" s="41"/>
      <c r="Z17" s="42">
        <f>420/10000</f>
        <v>4.2000000000000003E-2</v>
      </c>
      <c r="AA17" s="42">
        <f>21606.68/10000</f>
        <v>2.1606679999999998</v>
      </c>
      <c r="AB17" s="42">
        <f>Z17+AA17</f>
        <v>2.2026679999999996</v>
      </c>
      <c r="AC17" s="41"/>
      <c r="AD17" s="42">
        <f>483.87/10000</f>
        <v>4.8386999999999999E-2</v>
      </c>
      <c r="AE17" s="42">
        <f>22612.94/10000</f>
        <v>2.2612939999999999</v>
      </c>
      <c r="AF17" s="42">
        <f>AD17+AE17</f>
        <v>2.3096809999999999</v>
      </c>
      <c r="AG17" s="41"/>
      <c r="AH17" s="42">
        <f>585.48/10000</f>
        <v>5.8548000000000003E-2</v>
      </c>
      <c r="AI17" s="42">
        <f>21677.45/10000</f>
        <v>2.167745</v>
      </c>
      <c r="AJ17" s="42">
        <f>AH17+AI17</f>
        <v>2.2262930000000001</v>
      </c>
      <c r="AK17" s="41"/>
      <c r="AL17" s="42">
        <f>600/10000</f>
        <v>0.06</v>
      </c>
      <c r="AM17" s="42">
        <f>22853.29/10000</f>
        <v>2.2853289999999999</v>
      </c>
      <c r="AN17" s="42">
        <f>AL17+AM17</f>
        <v>2.345329</v>
      </c>
      <c r="AO17" s="41"/>
      <c r="AP17" s="42">
        <f>503.23/10000</f>
        <v>5.0323E-2</v>
      </c>
      <c r="AQ17" s="42">
        <f>22767.78/10000</f>
        <v>2.2767779999999997</v>
      </c>
      <c r="AR17" s="42">
        <f>AP17+AQ17</f>
        <v>2.3271009999999999</v>
      </c>
      <c r="AS17" s="41"/>
      <c r="AT17" s="42">
        <f>435/10000</f>
        <v>4.3499999999999997E-2</v>
      </c>
      <c r="AU17" s="42">
        <f>22359.94/10000</f>
        <v>2.2359939999999998</v>
      </c>
      <c r="AV17" s="42">
        <f>AT17+AU17</f>
        <v>2.2794939999999997</v>
      </c>
      <c r="AW17" s="41"/>
      <c r="AX17" s="42">
        <f>541.94/10000</f>
        <v>5.4194000000000006E-2</v>
      </c>
      <c r="AY17" s="42">
        <f>22935.52/10000</f>
        <v>2.293552</v>
      </c>
      <c r="AZ17" s="42">
        <f>AX17+AY17</f>
        <v>2.3477459999999999</v>
      </c>
      <c r="BA17" s="92"/>
      <c r="BB17" s="86"/>
      <c r="BC17" s="9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customFormat="1" ht="63.75" customHeight="1">
      <c r="A18" s="43" t="s">
        <v>1</v>
      </c>
      <c r="B18" s="43" t="s">
        <v>2</v>
      </c>
      <c r="C18" s="43" t="s">
        <v>16</v>
      </c>
      <c r="D18" s="43" t="s">
        <v>90</v>
      </c>
      <c r="E18" s="79" t="s">
        <v>45</v>
      </c>
      <c r="F18" s="79"/>
      <c r="G18" s="79"/>
      <c r="H18" s="79"/>
      <c r="I18" s="79" t="s">
        <v>46</v>
      </c>
      <c r="J18" s="79"/>
      <c r="K18" s="79"/>
      <c r="L18" s="79"/>
      <c r="M18" s="79" t="s">
        <v>47</v>
      </c>
      <c r="N18" s="79"/>
      <c r="O18" s="79"/>
      <c r="P18" s="79"/>
      <c r="Q18" s="79" t="s">
        <v>48</v>
      </c>
      <c r="R18" s="79"/>
      <c r="S18" s="79"/>
      <c r="T18" s="79"/>
      <c r="U18" s="79" t="s">
        <v>49</v>
      </c>
      <c r="V18" s="79"/>
      <c r="W18" s="79"/>
      <c r="X18" s="79"/>
      <c r="Y18" s="79" t="s">
        <v>50</v>
      </c>
      <c r="Z18" s="79"/>
      <c r="AA18" s="79"/>
      <c r="AB18" s="79"/>
      <c r="AC18" s="79" t="s">
        <v>51</v>
      </c>
      <c r="AD18" s="79"/>
      <c r="AE18" s="79"/>
      <c r="AF18" s="79"/>
      <c r="AG18" s="93" t="s">
        <v>52</v>
      </c>
      <c r="AH18" s="93"/>
      <c r="AI18" s="93"/>
      <c r="AJ18" s="93"/>
      <c r="AK18" s="79" t="s">
        <v>53</v>
      </c>
      <c r="AL18" s="79"/>
      <c r="AM18" s="79"/>
      <c r="AN18" s="79"/>
      <c r="AO18" s="79" t="s">
        <v>54</v>
      </c>
      <c r="AP18" s="79"/>
      <c r="AQ18" s="79"/>
      <c r="AR18" s="79"/>
      <c r="AS18" s="79" t="s">
        <v>55</v>
      </c>
      <c r="AT18" s="79"/>
      <c r="AU18" s="79"/>
      <c r="AV18" s="79"/>
      <c r="AW18" s="79" t="s">
        <v>56</v>
      </c>
      <c r="AX18" s="79"/>
      <c r="AY18" s="79"/>
      <c r="AZ18" s="79"/>
      <c r="BA18" s="43" t="s">
        <v>57</v>
      </c>
      <c r="BB18" s="43" t="s">
        <v>23</v>
      </c>
      <c r="BC18" s="43" t="s">
        <v>24</v>
      </c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customFormat="1" ht="64.5" customHeight="1">
      <c r="A19" s="79" t="s">
        <v>113</v>
      </c>
      <c r="B19" s="79" t="s">
        <v>91</v>
      </c>
      <c r="C19" s="43" t="s">
        <v>17</v>
      </c>
      <c r="D19" s="45" t="s">
        <v>92</v>
      </c>
      <c r="E19" s="43" t="s">
        <v>25</v>
      </c>
      <c r="F19" s="43" t="s">
        <v>26</v>
      </c>
      <c r="G19" s="43" t="s">
        <v>27</v>
      </c>
      <c r="H19" s="43" t="s">
        <v>59</v>
      </c>
      <c r="I19" s="43" t="s">
        <v>25</v>
      </c>
      <c r="J19" s="43" t="s">
        <v>26</v>
      </c>
      <c r="K19" s="43" t="s">
        <v>27</v>
      </c>
      <c r="L19" s="43" t="s">
        <v>59</v>
      </c>
      <c r="M19" s="43" t="s">
        <v>25</v>
      </c>
      <c r="N19" s="43" t="s">
        <v>26</v>
      </c>
      <c r="O19" s="43" t="s">
        <v>27</v>
      </c>
      <c r="P19" s="43" t="s">
        <v>59</v>
      </c>
      <c r="Q19" s="43" t="s">
        <v>25</v>
      </c>
      <c r="R19" s="43" t="s">
        <v>26</v>
      </c>
      <c r="S19" s="43" t="s">
        <v>27</v>
      </c>
      <c r="T19" s="43" t="s">
        <v>59</v>
      </c>
      <c r="U19" s="43" t="s">
        <v>25</v>
      </c>
      <c r="V19" s="43" t="s">
        <v>26</v>
      </c>
      <c r="W19" s="43" t="s">
        <v>27</v>
      </c>
      <c r="X19" s="43" t="s">
        <v>59</v>
      </c>
      <c r="Y19" s="43" t="s">
        <v>25</v>
      </c>
      <c r="Z19" s="43" t="s">
        <v>26</v>
      </c>
      <c r="AA19" s="43" t="s">
        <v>27</v>
      </c>
      <c r="AB19" s="43" t="s">
        <v>59</v>
      </c>
      <c r="AC19" s="43" t="s">
        <v>25</v>
      </c>
      <c r="AD19" s="43" t="s">
        <v>26</v>
      </c>
      <c r="AE19" s="43" t="s">
        <v>27</v>
      </c>
      <c r="AF19" s="43" t="s">
        <v>59</v>
      </c>
      <c r="AG19" s="43" t="s">
        <v>25</v>
      </c>
      <c r="AH19" s="43" t="s">
        <v>26</v>
      </c>
      <c r="AI19" s="43" t="s">
        <v>27</v>
      </c>
      <c r="AJ19" s="43" t="s">
        <v>59</v>
      </c>
      <c r="AK19" s="43" t="s">
        <v>25</v>
      </c>
      <c r="AL19" s="43" t="s">
        <v>26</v>
      </c>
      <c r="AM19" s="43" t="s">
        <v>27</v>
      </c>
      <c r="AN19" s="43" t="s">
        <v>59</v>
      </c>
      <c r="AO19" s="43" t="s">
        <v>25</v>
      </c>
      <c r="AP19" s="43" t="s">
        <v>26</v>
      </c>
      <c r="AQ19" s="43" t="s">
        <v>27</v>
      </c>
      <c r="AR19" s="43" t="s">
        <v>59</v>
      </c>
      <c r="AS19" s="43" t="s">
        <v>25</v>
      </c>
      <c r="AT19" s="43" t="s">
        <v>26</v>
      </c>
      <c r="AU19" s="43" t="s">
        <v>27</v>
      </c>
      <c r="AV19" s="43" t="s">
        <v>59</v>
      </c>
      <c r="AW19" s="43" t="s">
        <v>25</v>
      </c>
      <c r="AX19" s="43" t="s">
        <v>26</v>
      </c>
      <c r="AY19" s="43" t="s">
        <v>27</v>
      </c>
      <c r="AZ19" s="43" t="s">
        <v>59</v>
      </c>
      <c r="BA19" s="100">
        <v>53</v>
      </c>
      <c r="BB19" s="94">
        <f>5078.06/10000</f>
        <v>0.50780600000000009</v>
      </c>
      <c r="BC19" s="94">
        <f>BB19/2</f>
        <v>0.25390300000000005</v>
      </c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customFormat="1" ht="36.75" customHeight="1">
      <c r="A20" s="79"/>
      <c r="B20" s="79"/>
      <c r="C20" s="95" t="s">
        <v>18</v>
      </c>
      <c r="D20" s="97" t="s">
        <v>93</v>
      </c>
      <c r="E20" s="100">
        <v>7</v>
      </c>
      <c r="F20" s="100">
        <v>2</v>
      </c>
      <c r="G20" s="95"/>
      <c r="H20" s="100">
        <v>9</v>
      </c>
      <c r="I20" s="100">
        <v>7</v>
      </c>
      <c r="J20" s="100">
        <v>2</v>
      </c>
      <c r="K20" s="95"/>
      <c r="L20" s="100">
        <v>9</v>
      </c>
      <c r="M20" s="100">
        <v>7</v>
      </c>
      <c r="N20" s="100">
        <v>2</v>
      </c>
      <c r="O20" s="95"/>
      <c r="P20" s="100">
        <v>9</v>
      </c>
      <c r="Q20" s="100">
        <v>7</v>
      </c>
      <c r="R20" s="100">
        <v>2</v>
      </c>
      <c r="S20" s="95"/>
      <c r="T20" s="100">
        <v>9</v>
      </c>
      <c r="U20" s="100">
        <v>7</v>
      </c>
      <c r="V20" s="100">
        <v>2</v>
      </c>
      <c r="W20" s="95"/>
      <c r="X20" s="100">
        <v>9</v>
      </c>
      <c r="Y20" s="95"/>
      <c r="Z20" s="100">
        <v>2</v>
      </c>
      <c r="AA20" s="95"/>
      <c r="AB20" s="95">
        <f>SUM(Y20:AA21)</f>
        <v>2</v>
      </c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100">
        <v>2</v>
      </c>
      <c r="AX20" s="100">
        <v>2</v>
      </c>
      <c r="AY20" s="100">
        <v>2</v>
      </c>
      <c r="AZ20" s="95">
        <f>SUM(AW20:AY21)</f>
        <v>6</v>
      </c>
      <c r="BA20" s="101"/>
      <c r="BB20" s="94"/>
      <c r="BC20" s="9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customFormat="1" ht="33" customHeight="1">
      <c r="A21" s="79"/>
      <c r="B21" s="79"/>
      <c r="C21" s="96"/>
      <c r="D21" s="98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102"/>
      <c r="AC21" s="96"/>
      <c r="AD21" s="96"/>
      <c r="AE21" s="96"/>
      <c r="AF21" s="102"/>
      <c r="AG21" s="96"/>
      <c r="AH21" s="96"/>
      <c r="AI21" s="96"/>
      <c r="AJ21" s="102"/>
      <c r="AK21" s="96"/>
      <c r="AL21" s="96"/>
      <c r="AM21" s="96"/>
      <c r="AN21" s="102"/>
      <c r="AO21" s="96"/>
      <c r="AP21" s="96"/>
      <c r="AQ21" s="96"/>
      <c r="AR21" s="102"/>
      <c r="AS21" s="96"/>
      <c r="AT21" s="96"/>
      <c r="AU21" s="96"/>
      <c r="AV21" s="102"/>
      <c r="AW21" s="96"/>
      <c r="AX21" s="96"/>
      <c r="AY21" s="96"/>
      <c r="AZ21" s="102"/>
      <c r="BA21" s="101"/>
      <c r="BB21" s="94"/>
      <c r="BC21" s="9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customFormat="1" ht="50.25" customHeight="1">
      <c r="A22" s="79"/>
      <c r="B22" s="79"/>
      <c r="C22" s="43" t="s">
        <v>62</v>
      </c>
      <c r="D22" s="47" t="s">
        <v>94</v>
      </c>
      <c r="E22" s="79" t="s">
        <v>64</v>
      </c>
      <c r="F22" s="79"/>
      <c r="G22" s="79"/>
      <c r="H22" s="79"/>
      <c r="I22" s="79" t="s">
        <v>65</v>
      </c>
      <c r="J22" s="79"/>
      <c r="K22" s="79"/>
      <c r="L22" s="79"/>
      <c r="M22" s="79" t="s">
        <v>66</v>
      </c>
      <c r="N22" s="79"/>
      <c r="O22" s="79"/>
      <c r="P22" s="79"/>
      <c r="Q22" s="79" t="s">
        <v>67</v>
      </c>
      <c r="R22" s="79"/>
      <c r="S22" s="79"/>
      <c r="T22" s="79"/>
      <c r="U22" s="79" t="s">
        <v>68</v>
      </c>
      <c r="V22" s="79"/>
      <c r="W22" s="79"/>
      <c r="X22" s="79"/>
      <c r="Y22" s="79" t="s">
        <v>69</v>
      </c>
      <c r="Z22" s="79"/>
      <c r="AA22" s="79"/>
      <c r="AB22" s="79"/>
      <c r="AC22" s="79" t="s">
        <v>70</v>
      </c>
      <c r="AD22" s="79"/>
      <c r="AE22" s="79"/>
      <c r="AF22" s="79"/>
      <c r="AG22" s="79" t="s">
        <v>71</v>
      </c>
      <c r="AH22" s="79"/>
      <c r="AI22" s="79"/>
      <c r="AJ22" s="79"/>
      <c r="AK22" s="79" t="s">
        <v>86</v>
      </c>
      <c r="AL22" s="79"/>
      <c r="AM22" s="79"/>
      <c r="AN22" s="79"/>
      <c r="AO22" s="79" t="s">
        <v>73</v>
      </c>
      <c r="AP22" s="79"/>
      <c r="AQ22" s="79"/>
      <c r="AR22" s="79"/>
      <c r="AS22" s="79" t="s">
        <v>74</v>
      </c>
      <c r="AT22" s="79"/>
      <c r="AU22" s="79"/>
      <c r="AV22" s="79"/>
      <c r="AW22" s="79" t="s">
        <v>75</v>
      </c>
      <c r="AX22" s="79"/>
      <c r="AY22" s="79"/>
      <c r="AZ22" s="79"/>
      <c r="BA22" s="101"/>
      <c r="BB22" s="94"/>
      <c r="BC22" s="94"/>
      <c r="BD22" s="49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customFormat="1" ht="63" customHeight="1">
      <c r="A23" s="79"/>
      <c r="B23" s="79"/>
      <c r="C23" s="43" t="s">
        <v>76</v>
      </c>
      <c r="D23" s="43" t="s">
        <v>95</v>
      </c>
      <c r="E23" s="43" t="s">
        <v>25</v>
      </c>
      <c r="F23" s="43" t="s">
        <v>26</v>
      </c>
      <c r="G23" s="43" t="s">
        <v>27</v>
      </c>
      <c r="H23" s="43" t="s">
        <v>59</v>
      </c>
      <c r="I23" s="43" t="s">
        <v>25</v>
      </c>
      <c r="J23" s="43" t="s">
        <v>26</v>
      </c>
      <c r="K23" s="43" t="s">
        <v>27</v>
      </c>
      <c r="L23" s="43" t="s">
        <v>59</v>
      </c>
      <c r="M23" s="43" t="s">
        <v>25</v>
      </c>
      <c r="N23" s="43" t="s">
        <v>26</v>
      </c>
      <c r="O23" s="43" t="s">
        <v>27</v>
      </c>
      <c r="P23" s="43" t="s">
        <v>59</v>
      </c>
      <c r="Q23" s="43" t="s">
        <v>25</v>
      </c>
      <c r="R23" s="43" t="s">
        <v>26</v>
      </c>
      <c r="S23" s="43" t="s">
        <v>27</v>
      </c>
      <c r="T23" s="43" t="s">
        <v>59</v>
      </c>
      <c r="U23" s="43" t="s">
        <v>25</v>
      </c>
      <c r="V23" s="43" t="s">
        <v>26</v>
      </c>
      <c r="W23" s="43" t="s">
        <v>27</v>
      </c>
      <c r="X23" s="43" t="s">
        <v>59</v>
      </c>
      <c r="Y23" s="43" t="s">
        <v>25</v>
      </c>
      <c r="Z23" s="43" t="s">
        <v>26</v>
      </c>
      <c r="AA23" s="43" t="s">
        <v>27</v>
      </c>
      <c r="AB23" s="43" t="s">
        <v>59</v>
      </c>
      <c r="AC23" s="43" t="s">
        <v>25</v>
      </c>
      <c r="AD23" s="43" t="s">
        <v>26</v>
      </c>
      <c r="AE23" s="43" t="s">
        <v>27</v>
      </c>
      <c r="AF23" s="43" t="s">
        <v>59</v>
      </c>
      <c r="AG23" s="43" t="s">
        <v>25</v>
      </c>
      <c r="AH23" s="43" t="s">
        <v>26</v>
      </c>
      <c r="AI23" s="43" t="s">
        <v>27</v>
      </c>
      <c r="AJ23" s="43" t="s">
        <v>59</v>
      </c>
      <c r="AK23" s="43" t="s">
        <v>25</v>
      </c>
      <c r="AL23" s="43" t="s">
        <v>26</v>
      </c>
      <c r="AM23" s="43" t="s">
        <v>27</v>
      </c>
      <c r="AN23" s="43" t="s">
        <v>59</v>
      </c>
      <c r="AO23" s="43" t="s">
        <v>25</v>
      </c>
      <c r="AP23" s="43" t="s">
        <v>26</v>
      </c>
      <c r="AQ23" s="43" t="s">
        <v>27</v>
      </c>
      <c r="AR23" s="43" t="s">
        <v>59</v>
      </c>
      <c r="AS23" s="43" t="s">
        <v>25</v>
      </c>
      <c r="AT23" s="43" t="s">
        <v>26</v>
      </c>
      <c r="AU23" s="43" t="s">
        <v>27</v>
      </c>
      <c r="AV23" s="43" t="s">
        <v>59</v>
      </c>
      <c r="AW23" s="43" t="s">
        <v>25</v>
      </c>
      <c r="AX23" s="43" t="s">
        <v>26</v>
      </c>
      <c r="AY23" s="43" t="s">
        <v>27</v>
      </c>
      <c r="AZ23" s="43" t="s">
        <v>59</v>
      </c>
      <c r="BA23" s="101"/>
      <c r="BB23" s="94"/>
      <c r="BC23" s="9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55" customFormat="1" ht="64.5" customHeight="1">
      <c r="A24" s="79"/>
      <c r="B24" s="79"/>
      <c r="C24" s="43" t="s">
        <v>88</v>
      </c>
      <c r="D24" s="43" t="s">
        <v>96</v>
      </c>
      <c r="E24" s="50">
        <v>7.0000000000000007E-2</v>
      </c>
      <c r="F24" s="50">
        <v>0.03</v>
      </c>
      <c r="G24" s="40"/>
      <c r="H24" s="51">
        <f>SUM(E24:G24)</f>
        <v>0.1</v>
      </c>
      <c r="I24" s="50">
        <v>7.0000000000000007E-2</v>
      </c>
      <c r="J24" s="50">
        <v>0.03</v>
      </c>
      <c r="K24" s="50"/>
      <c r="L24" s="51">
        <f>SUM(I24:K24)</f>
        <v>0.1</v>
      </c>
      <c r="M24" s="50">
        <v>7.0000000000000007E-2</v>
      </c>
      <c r="N24" s="50">
        <v>0.03</v>
      </c>
      <c r="O24" s="50"/>
      <c r="P24" s="51">
        <f>SUM(M24:O24)</f>
        <v>0.1</v>
      </c>
      <c r="Q24" s="50">
        <v>7.0000000000000007E-2</v>
      </c>
      <c r="R24" s="50">
        <v>0.03</v>
      </c>
      <c r="S24" s="50"/>
      <c r="T24" s="51">
        <f>SUM(Q24:S24)</f>
        <v>0.1</v>
      </c>
      <c r="U24" s="50">
        <v>7.0000000000000007E-2</v>
      </c>
      <c r="V24" s="50">
        <v>0.03</v>
      </c>
      <c r="W24" s="50"/>
      <c r="X24" s="51">
        <f>SUM(U24:W24)</f>
        <v>0.1</v>
      </c>
      <c r="Y24" s="50"/>
      <c r="Z24" s="50">
        <v>2E-3</v>
      </c>
      <c r="AA24" s="50"/>
      <c r="AB24" s="52">
        <f>SUM(Y24:AA24)</f>
        <v>2E-3</v>
      </c>
      <c r="AC24" s="43"/>
      <c r="AD24" s="43"/>
      <c r="AE24" s="43"/>
      <c r="AF24" s="51"/>
      <c r="AG24" s="43"/>
      <c r="AH24" s="43"/>
      <c r="AI24" s="43"/>
      <c r="AJ24" s="51"/>
      <c r="AK24" s="43"/>
      <c r="AL24" s="43"/>
      <c r="AM24" s="43"/>
      <c r="AN24" s="51"/>
      <c r="AO24" s="43"/>
      <c r="AP24" s="43"/>
      <c r="AQ24" s="43"/>
      <c r="AR24" s="51"/>
      <c r="AS24" s="43"/>
      <c r="AT24" s="43"/>
      <c r="AU24" s="43"/>
      <c r="AV24" s="51"/>
      <c r="AW24" s="53">
        <v>1.2900000000000001E-3</v>
      </c>
      <c r="AX24" s="53">
        <v>1.936E-3</v>
      </c>
      <c r="AY24" s="53">
        <v>2.5800000000000003E-3</v>
      </c>
      <c r="AZ24" s="53">
        <f>SUM(AW24:AY24)</f>
        <v>5.8060000000000004E-3</v>
      </c>
      <c r="BA24" s="96"/>
      <c r="BB24" s="94"/>
      <c r="BC24" s="9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</row>
    <row r="25" spans="1:256" customFormat="1" ht="63.75" customHeight="1">
      <c r="A25" s="43" t="s">
        <v>1</v>
      </c>
      <c r="B25" s="43" t="s">
        <v>2</v>
      </c>
      <c r="C25" s="43" t="s">
        <v>16</v>
      </c>
      <c r="D25" s="43" t="s">
        <v>97</v>
      </c>
      <c r="E25" s="79" t="s">
        <v>45</v>
      </c>
      <c r="F25" s="79"/>
      <c r="G25" s="79"/>
      <c r="H25" s="79"/>
      <c r="I25" s="79" t="s">
        <v>46</v>
      </c>
      <c r="J25" s="79"/>
      <c r="K25" s="79"/>
      <c r="L25" s="79"/>
      <c r="M25" s="79" t="s">
        <v>47</v>
      </c>
      <c r="N25" s="79"/>
      <c r="O25" s="79"/>
      <c r="P25" s="79"/>
      <c r="Q25" s="79" t="s">
        <v>48</v>
      </c>
      <c r="R25" s="79"/>
      <c r="S25" s="79"/>
      <c r="T25" s="79"/>
      <c r="U25" s="79" t="s">
        <v>49</v>
      </c>
      <c r="V25" s="79"/>
      <c r="W25" s="79"/>
      <c r="X25" s="79"/>
      <c r="Y25" s="79" t="s">
        <v>50</v>
      </c>
      <c r="Z25" s="79"/>
      <c r="AA25" s="79"/>
      <c r="AB25" s="79"/>
      <c r="AC25" s="79" t="s">
        <v>51</v>
      </c>
      <c r="AD25" s="79"/>
      <c r="AE25" s="79"/>
      <c r="AF25" s="79"/>
      <c r="AG25" s="93" t="s">
        <v>52</v>
      </c>
      <c r="AH25" s="93"/>
      <c r="AI25" s="93"/>
      <c r="AJ25" s="93"/>
      <c r="AK25" s="79" t="s">
        <v>53</v>
      </c>
      <c r="AL25" s="79"/>
      <c r="AM25" s="79"/>
      <c r="AN25" s="79"/>
      <c r="AO25" s="79" t="s">
        <v>54</v>
      </c>
      <c r="AP25" s="79"/>
      <c r="AQ25" s="79"/>
      <c r="AR25" s="79"/>
      <c r="AS25" s="79" t="s">
        <v>55</v>
      </c>
      <c r="AT25" s="79"/>
      <c r="AU25" s="79"/>
      <c r="AV25" s="79"/>
      <c r="AW25" s="79" t="s">
        <v>56</v>
      </c>
      <c r="AX25" s="79"/>
      <c r="AY25" s="79"/>
      <c r="AZ25" s="79"/>
      <c r="BA25" s="43" t="s">
        <v>57</v>
      </c>
      <c r="BB25" s="43" t="s">
        <v>23</v>
      </c>
      <c r="BC25" s="43" t="s">
        <v>24</v>
      </c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customFormat="1" ht="64.5" customHeight="1">
      <c r="A26" s="79" t="s">
        <v>114</v>
      </c>
      <c r="B26" s="79" t="s">
        <v>122</v>
      </c>
      <c r="C26" s="43" t="s">
        <v>17</v>
      </c>
      <c r="D26" s="43" t="s">
        <v>98</v>
      </c>
      <c r="E26" s="43" t="s">
        <v>25</v>
      </c>
      <c r="F26" s="43" t="s">
        <v>26</v>
      </c>
      <c r="G26" s="43" t="s">
        <v>27</v>
      </c>
      <c r="H26" s="43" t="s">
        <v>59</v>
      </c>
      <c r="I26" s="43" t="s">
        <v>25</v>
      </c>
      <c r="J26" s="43" t="s">
        <v>26</v>
      </c>
      <c r="K26" s="43" t="s">
        <v>27</v>
      </c>
      <c r="L26" s="43" t="s">
        <v>59</v>
      </c>
      <c r="M26" s="43" t="s">
        <v>25</v>
      </c>
      <c r="N26" s="43" t="s">
        <v>26</v>
      </c>
      <c r="O26" s="43" t="s">
        <v>27</v>
      </c>
      <c r="P26" s="43" t="s">
        <v>59</v>
      </c>
      <c r="Q26" s="43" t="s">
        <v>25</v>
      </c>
      <c r="R26" s="43" t="s">
        <v>26</v>
      </c>
      <c r="S26" s="43" t="s">
        <v>27</v>
      </c>
      <c r="T26" s="43" t="s">
        <v>59</v>
      </c>
      <c r="U26" s="43" t="s">
        <v>25</v>
      </c>
      <c r="V26" s="43" t="s">
        <v>26</v>
      </c>
      <c r="W26" s="43" t="s">
        <v>27</v>
      </c>
      <c r="X26" s="43" t="s">
        <v>59</v>
      </c>
      <c r="Y26" s="43" t="s">
        <v>25</v>
      </c>
      <c r="Z26" s="43" t="s">
        <v>26</v>
      </c>
      <c r="AA26" s="43" t="s">
        <v>27</v>
      </c>
      <c r="AB26" s="43" t="s">
        <v>59</v>
      </c>
      <c r="AC26" s="43" t="s">
        <v>25</v>
      </c>
      <c r="AD26" s="43" t="s">
        <v>26</v>
      </c>
      <c r="AE26" s="43" t="s">
        <v>27</v>
      </c>
      <c r="AF26" s="43" t="s">
        <v>59</v>
      </c>
      <c r="AG26" s="43" t="s">
        <v>25</v>
      </c>
      <c r="AH26" s="43" t="s">
        <v>26</v>
      </c>
      <c r="AI26" s="43" t="s">
        <v>27</v>
      </c>
      <c r="AJ26" s="43" t="s">
        <v>59</v>
      </c>
      <c r="AK26" s="43" t="s">
        <v>25</v>
      </c>
      <c r="AL26" s="43" t="s">
        <v>26</v>
      </c>
      <c r="AM26" s="43" t="s">
        <v>27</v>
      </c>
      <c r="AN26" s="43" t="s">
        <v>59</v>
      </c>
      <c r="AO26" s="43" t="s">
        <v>25</v>
      </c>
      <c r="AP26" s="43" t="s">
        <v>26</v>
      </c>
      <c r="AQ26" s="43" t="s">
        <v>27</v>
      </c>
      <c r="AR26" s="43" t="s">
        <v>59</v>
      </c>
      <c r="AS26" s="43" t="s">
        <v>25</v>
      </c>
      <c r="AT26" s="43" t="s">
        <v>26</v>
      </c>
      <c r="AU26" s="43" t="s">
        <v>27</v>
      </c>
      <c r="AV26" s="43" t="s">
        <v>59</v>
      </c>
      <c r="AW26" s="43" t="s">
        <v>25</v>
      </c>
      <c r="AX26" s="43" t="s">
        <v>26</v>
      </c>
      <c r="AY26" s="43" t="s">
        <v>27</v>
      </c>
      <c r="AZ26" s="43" t="s">
        <v>59</v>
      </c>
      <c r="BA26" s="103">
        <f>H27+L27+P27+T27+X27+AB27+AF27+AJ27+AN27+AR27+AV27+AZ27</f>
        <v>93</v>
      </c>
      <c r="BB26" s="106">
        <f>22749.71/10000</f>
        <v>2.2749709999999999</v>
      </c>
      <c r="BC26" s="94">
        <f>BB26/2</f>
        <v>1.1374854999999999</v>
      </c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customFormat="1" ht="36.75" customHeight="1">
      <c r="A27" s="79"/>
      <c r="B27" s="79"/>
      <c r="C27" s="95" t="s">
        <v>18</v>
      </c>
      <c r="D27" s="107" t="s">
        <v>99</v>
      </c>
      <c r="E27" s="100">
        <v>3</v>
      </c>
      <c r="F27" s="100">
        <v>2</v>
      </c>
      <c r="G27" s="100">
        <v>8</v>
      </c>
      <c r="H27" s="100">
        <f>SUM(E27:G27)</f>
        <v>13</v>
      </c>
      <c r="I27" s="100">
        <v>3</v>
      </c>
      <c r="J27" s="100">
        <v>2</v>
      </c>
      <c r="K27" s="100">
        <v>8</v>
      </c>
      <c r="L27" s="100">
        <f>SUM(I27:K27)</f>
        <v>13</v>
      </c>
      <c r="M27" s="100">
        <v>3</v>
      </c>
      <c r="N27" s="100">
        <v>2</v>
      </c>
      <c r="O27" s="100">
        <v>8</v>
      </c>
      <c r="P27" s="100">
        <f>SUM(M27:O27)</f>
        <v>13</v>
      </c>
      <c r="Q27" s="100">
        <v>3</v>
      </c>
      <c r="R27" s="100">
        <v>2</v>
      </c>
      <c r="S27" s="100">
        <v>8</v>
      </c>
      <c r="T27" s="100">
        <f>SUM(Q27:S27)</f>
        <v>13</v>
      </c>
      <c r="U27" s="100">
        <v>3</v>
      </c>
      <c r="V27" s="100">
        <v>2</v>
      </c>
      <c r="W27" s="100">
        <v>8</v>
      </c>
      <c r="X27" s="100">
        <f>SUM(U27:W27)</f>
        <v>13</v>
      </c>
      <c r="Y27" s="100">
        <v>1</v>
      </c>
      <c r="Z27" s="100">
        <v>1</v>
      </c>
      <c r="AA27" s="100">
        <v>2</v>
      </c>
      <c r="AB27" s="100">
        <f>SUM(Y27:AA27)</f>
        <v>4</v>
      </c>
      <c r="AC27" s="100">
        <v>1</v>
      </c>
      <c r="AD27" s="100">
        <v>1</v>
      </c>
      <c r="AE27" s="100">
        <v>2</v>
      </c>
      <c r="AF27" s="95">
        <f>SUM(AC27:AE27)</f>
        <v>4</v>
      </c>
      <c r="AG27" s="100">
        <v>1</v>
      </c>
      <c r="AH27" s="100">
        <v>1</v>
      </c>
      <c r="AI27" s="100">
        <v>1</v>
      </c>
      <c r="AJ27" s="95">
        <f>SUM(AG27:AI27)</f>
        <v>3</v>
      </c>
      <c r="AK27" s="100">
        <v>1</v>
      </c>
      <c r="AL27" s="100">
        <v>1</v>
      </c>
      <c r="AM27" s="100">
        <v>2</v>
      </c>
      <c r="AN27" s="95">
        <f>SUM(AK27:AM27)</f>
        <v>4</v>
      </c>
      <c r="AO27" s="100">
        <v>1</v>
      </c>
      <c r="AP27" s="100">
        <v>1</v>
      </c>
      <c r="AQ27" s="100">
        <v>2</v>
      </c>
      <c r="AR27" s="95">
        <f>SUM(AO27:AQ27)</f>
        <v>4</v>
      </c>
      <c r="AS27" s="100">
        <v>1</v>
      </c>
      <c r="AT27" s="100">
        <v>1</v>
      </c>
      <c r="AU27" s="100">
        <v>2</v>
      </c>
      <c r="AV27" s="95">
        <f>SUM(AS27:AU27)</f>
        <v>4</v>
      </c>
      <c r="AW27" s="100">
        <v>2</v>
      </c>
      <c r="AX27" s="100">
        <v>1</v>
      </c>
      <c r="AY27" s="100">
        <v>2</v>
      </c>
      <c r="AZ27" s="95">
        <f>SUM(AW27:AY27)</f>
        <v>5</v>
      </c>
      <c r="BA27" s="104"/>
      <c r="BB27" s="106"/>
      <c r="BC27" s="9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customFormat="1" ht="33" customHeight="1">
      <c r="A28" s="79"/>
      <c r="B28" s="79"/>
      <c r="C28" s="96"/>
      <c r="D28" s="108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102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104"/>
      <c r="BB28" s="106"/>
      <c r="BC28" s="9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customFormat="1" ht="50.25" customHeight="1">
      <c r="A29" s="79"/>
      <c r="B29" s="79"/>
      <c r="C29" s="43" t="s">
        <v>62</v>
      </c>
      <c r="D29" s="56" t="s">
        <v>100</v>
      </c>
      <c r="E29" s="79" t="s">
        <v>64</v>
      </c>
      <c r="F29" s="79"/>
      <c r="G29" s="79"/>
      <c r="H29" s="79"/>
      <c r="I29" s="79" t="s">
        <v>65</v>
      </c>
      <c r="J29" s="79"/>
      <c r="K29" s="79"/>
      <c r="L29" s="79"/>
      <c r="M29" s="79" t="s">
        <v>66</v>
      </c>
      <c r="N29" s="79"/>
      <c r="O29" s="79"/>
      <c r="P29" s="79"/>
      <c r="Q29" s="79" t="s">
        <v>67</v>
      </c>
      <c r="R29" s="79"/>
      <c r="S29" s="79"/>
      <c r="T29" s="79"/>
      <c r="U29" s="79" t="s">
        <v>68</v>
      </c>
      <c r="V29" s="79"/>
      <c r="W29" s="79"/>
      <c r="X29" s="79"/>
      <c r="Y29" s="79" t="s">
        <v>69</v>
      </c>
      <c r="Z29" s="79"/>
      <c r="AA29" s="79"/>
      <c r="AB29" s="79"/>
      <c r="AC29" s="79" t="s">
        <v>70</v>
      </c>
      <c r="AD29" s="79"/>
      <c r="AE29" s="79"/>
      <c r="AF29" s="79"/>
      <c r="AG29" s="79" t="s">
        <v>71</v>
      </c>
      <c r="AH29" s="79"/>
      <c r="AI29" s="79"/>
      <c r="AJ29" s="79"/>
      <c r="AK29" s="79" t="s">
        <v>86</v>
      </c>
      <c r="AL29" s="79"/>
      <c r="AM29" s="79"/>
      <c r="AN29" s="79"/>
      <c r="AO29" s="79" t="s">
        <v>73</v>
      </c>
      <c r="AP29" s="79"/>
      <c r="AQ29" s="79"/>
      <c r="AR29" s="79"/>
      <c r="AS29" s="79" t="s">
        <v>74</v>
      </c>
      <c r="AT29" s="79"/>
      <c r="AU29" s="79"/>
      <c r="AV29" s="79"/>
      <c r="AW29" s="79" t="s">
        <v>75</v>
      </c>
      <c r="AX29" s="79"/>
      <c r="AY29" s="79"/>
      <c r="AZ29" s="79"/>
      <c r="BA29" s="104"/>
      <c r="BB29" s="106"/>
      <c r="BC29" s="9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customFormat="1" ht="63" customHeight="1">
      <c r="A30" s="79"/>
      <c r="B30" s="79"/>
      <c r="C30" s="43" t="s">
        <v>76</v>
      </c>
      <c r="D30" s="57" t="s">
        <v>101</v>
      </c>
      <c r="E30" s="43" t="s">
        <v>25</v>
      </c>
      <c r="F30" s="43" t="s">
        <v>26</v>
      </c>
      <c r="G30" s="43" t="s">
        <v>27</v>
      </c>
      <c r="H30" s="43" t="s">
        <v>59</v>
      </c>
      <c r="I30" s="43" t="s">
        <v>25</v>
      </c>
      <c r="J30" s="43" t="s">
        <v>26</v>
      </c>
      <c r="K30" s="43" t="s">
        <v>27</v>
      </c>
      <c r="L30" s="43" t="s">
        <v>59</v>
      </c>
      <c r="M30" s="43" t="s">
        <v>25</v>
      </c>
      <c r="N30" s="43" t="s">
        <v>26</v>
      </c>
      <c r="O30" s="43" t="s">
        <v>27</v>
      </c>
      <c r="P30" s="43" t="s">
        <v>59</v>
      </c>
      <c r="Q30" s="43" t="s">
        <v>25</v>
      </c>
      <c r="R30" s="43" t="s">
        <v>26</v>
      </c>
      <c r="S30" s="43" t="s">
        <v>27</v>
      </c>
      <c r="T30" s="43" t="s">
        <v>59</v>
      </c>
      <c r="U30" s="43" t="s">
        <v>25</v>
      </c>
      <c r="V30" s="43" t="s">
        <v>26</v>
      </c>
      <c r="W30" s="43" t="s">
        <v>27</v>
      </c>
      <c r="X30" s="43" t="s">
        <v>59</v>
      </c>
      <c r="Y30" s="43" t="s">
        <v>25</v>
      </c>
      <c r="Z30" s="43" t="s">
        <v>26</v>
      </c>
      <c r="AA30" s="43" t="s">
        <v>27</v>
      </c>
      <c r="AB30" s="43" t="s">
        <v>59</v>
      </c>
      <c r="AC30" s="43" t="s">
        <v>25</v>
      </c>
      <c r="AD30" s="43" t="s">
        <v>26</v>
      </c>
      <c r="AE30" s="43" t="s">
        <v>27</v>
      </c>
      <c r="AF30" s="43" t="s">
        <v>59</v>
      </c>
      <c r="AG30" s="43" t="s">
        <v>25</v>
      </c>
      <c r="AH30" s="43" t="s">
        <v>26</v>
      </c>
      <c r="AI30" s="43" t="s">
        <v>27</v>
      </c>
      <c r="AJ30" s="43" t="s">
        <v>59</v>
      </c>
      <c r="AK30" s="43" t="s">
        <v>25</v>
      </c>
      <c r="AL30" s="43" t="s">
        <v>26</v>
      </c>
      <c r="AM30" s="43" t="s">
        <v>27</v>
      </c>
      <c r="AN30" s="43" t="s">
        <v>59</v>
      </c>
      <c r="AO30" s="43" t="s">
        <v>25</v>
      </c>
      <c r="AP30" s="43" t="s">
        <v>26</v>
      </c>
      <c r="AQ30" s="43" t="s">
        <v>27</v>
      </c>
      <c r="AR30" s="43" t="s">
        <v>59</v>
      </c>
      <c r="AS30" s="43" t="s">
        <v>25</v>
      </c>
      <c r="AT30" s="43" t="s">
        <v>26</v>
      </c>
      <c r="AU30" s="43" t="s">
        <v>27</v>
      </c>
      <c r="AV30" s="43" t="s">
        <v>59</v>
      </c>
      <c r="AW30" s="43" t="s">
        <v>25</v>
      </c>
      <c r="AX30" s="43" t="s">
        <v>26</v>
      </c>
      <c r="AY30" s="43" t="s">
        <v>27</v>
      </c>
      <c r="AZ30" s="43" t="s">
        <v>59</v>
      </c>
      <c r="BA30" s="104"/>
      <c r="BB30" s="106"/>
      <c r="BC30" s="94"/>
      <c r="BD30" s="58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55" customFormat="1" ht="64.5" customHeight="1">
      <c r="A31" s="79"/>
      <c r="B31" s="79"/>
      <c r="C31" s="43" t="s">
        <v>88</v>
      </c>
      <c r="D31" s="57" t="s">
        <v>102</v>
      </c>
      <c r="E31" s="59">
        <v>7.8E-2</v>
      </c>
      <c r="F31" s="59">
        <v>5.1999999999999998E-2</v>
      </c>
      <c r="G31" s="59">
        <v>0.20799999999999999</v>
      </c>
      <c r="H31" s="59">
        <f>SUM(E31:G31)</f>
        <v>0.33799999999999997</v>
      </c>
      <c r="I31" s="59">
        <v>7.8E-2</v>
      </c>
      <c r="J31" s="59">
        <v>5.1999999999999998E-2</v>
      </c>
      <c r="K31" s="59">
        <v>0.20799999999999999</v>
      </c>
      <c r="L31" s="59">
        <f>SUM(I31:K31)</f>
        <v>0.33799999999999997</v>
      </c>
      <c r="M31" s="59">
        <v>7.8E-2</v>
      </c>
      <c r="N31" s="59">
        <v>5.1999999999999998E-2</v>
      </c>
      <c r="O31" s="59">
        <v>0.20799999999999999</v>
      </c>
      <c r="P31" s="59">
        <f>SUM(M31:O31)</f>
        <v>0.33799999999999997</v>
      </c>
      <c r="Q31" s="59">
        <v>7.8E-2</v>
      </c>
      <c r="R31" s="59">
        <v>5.1999999999999998E-2</v>
      </c>
      <c r="S31" s="59">
        <v>0.20799999999999999</v>
      </c>
      <c r="T31" s="59">
        <f>SUM(Q31:S31)</f>
        <v>0.33799999999999997</v>
      </c>
      <c r="U31" s="59">
        <v>7.8E-2</v>
      </c>
      <c r="V31" s="59">
        <v>5.1999999999999998E-2</v>
      </c>
      <c r="W31" s="59">
        <v>0.20799999999999999</v>
      </c>
      <c r="X31" s="59">
        <f>SUM(U31:W31)</f>
        <v>0.33799999999999997</v>
      </c>
      <c r="Y31" s="59">
        <v>2.2533000000000001E-2</v>
      </c>
      <c r="Z31" s="59">
        <v>2.5999999999999999E-2</v>
      </c>
      <c r="AA31" s="59">
        <v>5.1999999999999998E-2</v>
      </c>
      <c r="AB31" s="59">
        <f>SUM(Y31:AA31)</f>
        <v>0.100533</v>
      </c>
      <c r="AC31" s="59">
        <v>2.3484000000000001E-2</v>
      </c>
      <c r="AD31" s="59">
        <v>2.3484000000000001E-2</v>
      </c>
      <c r="AE31" s="59">
        <v>3.7742000000000005E-2</v>
      </c>
      <c r="AF31" s="59">
        <f>SUM(AC31:AE31)</f>
        <v>8.4710000000000008E-2</v>
      </c>
      <c r="AG31" s="59">
        <v>1.6774000000000001E-2</v>
      </c>
      <c r="AH31" s="59">
        <v>1.9290000000000002E-2</v>
      </c>
      <c r="AI31" s="59">
        <v>1.6774000000000001E-2</v>
      </c>
      <c r="AJ31" s="59">
        <f>SUM(AG31:AI31)</f>
        <v>5.2837999999999996E-2</v>
      </c>
      <c r="AK31" s="59">
        <v>1.8200000000000001E-2</v>
      </c>
      <c r="AL31" s="59">
        <v>2.3400000000000001E-2</v>
      </c>
      <c r="AM31" s="59">
        <v>3.5532999999999995E-2</v>
      </c>
      <c r="AN31" s="59">
        <f>SUM(AK31:AM31)</f>
        <v>7.7132999999999993E-2</v>
      </c>
      <c r="AO31" s="59">
        <v>2.0128999999999998E-2</v>
      </c>
      <c r="AP31" s="59">
        <v>2.0128999999999998E-2</v>
      </c>
      <c r="AQ31" s="59">
        <v>4.0257999999999995E-2</v>
      </c>
      <c r="AR31" s="59">
        <f>SUM(AO31:AQ31)</f>
        <v>8.051599999999999E-2</v>
      </c>
      <c r="AS31" s="59">
        <v>1.9066999999999997E-2</v>
      </c>
      <c r="AT31" s="59">
        <v>2.3400000000000001E-2</v>
      </c>
      <c r="AU31" s="59">
        <v>5.1999999999999998E-2</v>
      </c>
      <c r="AV31" s="59">
        <f>SUM(AS31:AU31)</f>
        <v>9.4466999999999995E-2</v>
      </c>
      <c r="AW31" s="59">
        <v>3.4387000000000001E-2</v>
      </c>
      <c r="AX31" s="59">
        <v>2.3484000000000001E-2</v>
      </c>
      <c r="AY31" s="59">
        <v>3.6902999999999998E-2</v>
      </c>
      <c r="AZ31" s="59">
        <f>SUM(AW31:AY31)</f>
        <v>9.4773999999999997E-2</v>
      </c>
      <c r="BA31" s="105"/>
      <c r="BB31" s="106"/>
      <c r="BC31" s="9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  <c r="IU31" s="54"/>
      <c r="IV31" s="54"/>
    </row>
    <row r="32" spans="1:256" customFormat="1" ht="63.75" customHeight="1">
      <c r="A32" s="43" t="s">
        <v>1</v>
      </c>
      <c r="B32" s="43" t="s">
        <v>2</v>
      </c>
      <c r="C32" s="43" t="s">
        <v>16</v>
      </c>
      <c r="D32" s="43" t="s">
        <v>103</v>
      </c>
      <c r="E32" s="79" t="s">
        <v>45</v>
      </c>
      <c r="F32" s="79"/>
      <c r="G32" s="79"/>
      <c r="H32" s="79"/>
      <c r="I32" s="79" t="s">
        <v>46</v>
      </c>
      <c r="J32" s="79"/>
      <c r="K32" s="79"/>
      <c r="L32" s="79"/>
      <c r="M32" s="79" t="s">
        <v>47</v>
      </c>
      <c r="N32" s="79"/>
      <c r="O32" s="79"/>
      <c r="P32" s="79"/>
      <c r="Q32" s="79" t="s">
        <v>48</v>
      </c>
      <c r="R32" s="79"/>
      <c r="S32" s="79"/>
      <c r="T32" s="79"/>
      <c r="U32" s="79" t="s">
        <v>49</v>
      </c>
      <c r="V32" s="79"/>
      <c r="W32" s="79"/>
      <c r="X32" s="79"/>
      <c r="Y32" s="79" t="s">
        <v>50</v>
      </c>
      <c r="Z32" s="79"/>
      <c r="AA32" s="79"/>
      <c r="AB32" s="79"/>
      <c r="AC32" s="79" t="s">
        <v>51</v>
      </c>
      <c r="AD32" s="79"/>
      <c r="AE32" s="79"/>
      <c r="AF32" s="79"/>
      <c r="AG32" s="93" t="s">
        <v>52</v>
      </c>
      <c r="AH32" s="93"/>
      <c r="AI32" s="93"/>
      <c r="AJ32" s="93"/>
      <c r="AK32" s="79" t="s">
        <v>53</v>
      </c>
      <c r="AL32" s="79"/>
      <c r="AM32" s="79"/>
      <c r="AN32" s="79"/>
      <c r="AO32" s="79" t="s">
        <v>54</v>
      </c>
      <c r="AP32" s="79"/>
      <c r="AQ32" s="79"/>
      <c r="AR32" s="79"/>
      <c r="AS32" s="79" t="s">
        <v>55</v>
      </c>
      <c r="AT32" s="79"/>
      <c r="AU32" s="79"/>
      <c r="AV32" s="79"/>
      <c r="AW32" s="79" t="s">
        <v>56</v>
      </c>
      <c r="AX32" s="79"/>
      <c r="AY32" s="79"/>
      <c r="AZ32" s="79"/>
      <c r="BA32" s="43" t="s">
        <v>57</v>
      </c>
      <c r="BB32" s="43" t="s">
        <v>23</v>
      </c>
      <c r="BC32" s="43" t="s">
        <v>24</v>
      </c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</row>
    <row r="33" spans="1:256" customFormat="1" ht="64.5" customHeight="1">
      <c r="A33" s="95" t="s">
        <v>115</v>
      </c>
      <c r="B33" s="95" t="s">
        <v>123</v>
      </c>
      <c r="C33" s="43" t="s">
        <v>17</v>
      </c>
      <c r="D33" s="45" t="s">
        <v>104</v>
      </c>
      <c r="E33" s="43" t="s">
        <v>25</v>
      </c>
      <c r="F33" s="43" t="s">
        <v>26</v>
      </c>
      <c r="G33" s="43" t="s">
        <v>27</v>
      </c>
      <c r="H33" s="43" t="s">
        <v>59</v>
      </c>
      <c r="I33" s="43" t="s">
        <v>25</v>
      </c>
      <c r="J33" s="43" t="s">
        <v>26</v>
      </c>
      <c r="K33" s="43" t="s">
        <v>27</v>
      </c>
      <c r="L33" s="43" t="s">
        <v>59</v>
      </c>
      <c r="M33" s="43" t="s">
        <v>25</v>
      </c>
      <c r="N33" s="43" t="s">
        <v>26</v>
      </c>
      <c r="O33" s="43" t="s">
        <v>27</v>
      </c>
      <c r="P33" s="43" t="s">
        <v>59</v>
      </c>
      <c r="Q33" s="43" t="s">
        <v>25</v>
      </c>
      <c r="R33" s="43" t="s">
        <v>26</v>
      </c>
      <c r="S33" s="43" t="s">
        <v>27</v>
      </c>
      <c r="T33" s="43" t="s">
        <v>59</v>
      </c>
      <c r="U33" s="43" t="s">
        <v>25</v>
      </c>
      <c r="V33" s="43" t="s">
        <v>26</v>
      </c>
      <c r="W33" s="43" t="s">
        <v>27</v>
      </c>
      <c r="X33" s="43" t="s">
        <v>59</v>
      </c>
      <c r="Y33" s="43" t="s">
        <v>25</v>
      </c>
      <c r="Z33" s="43" t="s">
        <v>26</v>
      </c>
      <c r="AA33" s="43" t="s">
        <v>27</v>
      </c>
      <c r="AB33" s="43" t="s">
        <v>59</v>
      </c>
      <c r="AC33" s="43" t="s">
        <v>25</v>
      </c>
      <c r="AD33" s="43" t="s">
        <v>26</v>
      </c>
      <c r="AE33" s="43" t="s">
        <v>27</v>
      </c>
      <c r="AF33" s="43" t="s">
        <v>59</v>
      </c>
      <c r="AG33" s="43" t="s">
        <v>25</v>
      </c>
      <c r="AH33" s="43" t="s">
        <v>26</v>
      </c>
      <c r="AI33" s="43" t="s">
        <v>27</v>
      </c>
      <c r="AJ33" s="43" t="s">
        <v>59</v>
      </c>
      <c r="AK33" s="43" t="s">
        <v>25</v>
      </c>
      <c r="AL33" s="43" t="s">
        <v>26</v>
      </c>
      <c r="AM33" s="43" t="s">
        <v>27</v>
      </c>
      <c r="AN33" s="43" t="s">
        <v>59</v>
      </c>
      <c r="AO33" s="43" t="s">
        <v>25</v>
      </c>
      <c r="AP33" s="43" t="s">
        <v>26</v>
      </c>
      <c r="AQ33" s="43" t="s">
        <v>27</v>
      </c>
      <c r="AR33" s="43" t="s">
        <v>59</v>
      </c>
      <c r="AS33" s="43" t="s">
        <v>25</v>
      </c>
      <c r="AT33" s="43" t="s">
        <v>26</v>
      </c>
      <c r="AU33" s="43" t="s">
        <v>27</v>
      </c>
      <c r="AV33" s="43" t="s">
        <v>59</v>
      </c>
      <c r="AW33" s="43" t="s">
        <v>25</v>
      </c>
      <c r="AX33" s="43" t="s">
        <v>26</v>
      </c>
      <c r="AY33" s="43" t="s">
        <v>27</v>
      </c>
      <c r="AZ33" s="43" t="s">
        <v>59</v>
      </c>
      <c r="BA33" s="100">
        <v>1645</v>
      </c>
      <c r="BB33" s="110">
        <f>242537.14/10000</f>
        <v>24.253714000000002</v>
      </c>
      <c r="BC33" s="113">
        <f>BB33/2</f>
        <v>12.126857000000001</v>
      </c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</row>
    <row r="34" spans="1:256" customFormat="1" ht="36.75" customHeight="1">
      <c r="A34" s="101"/>
      <c r="B34" s="101"/>
      <c r="C34" s="95" t="s">
        <v>18</v>
      </c>
      <c r="D34" s="116" t="s">
        <v>105</v>
      </c>
      <c r="E34" s="100">
        <v>17</v>
      </c>
      <c r="F34" s="100">
        <v>17</v>
      </c>
      <c r="G34" s="100">
        <v>75</v>
      </c>
      <c r="H34" s="100">
        <f>SUM(E34:G35)</f>
        <v>109</v>
      </c>
      <c r="I34" s="100">
        <v>21</v>
      </c>
      <c r="J34" s="100">
        <v>16</v>
      </c>
      <c r="K34" s="100">
        <v>81</v>
      </c>
      <c r="L34" s="100">
        <f>SUM(I34:K35)</f>
        <v>118</v>
      </c>
      <c r="M34" s="100">
        <v>19</v>
      </c>
      <c r="N34" s="100">
        <v>15</v>
      </c>
      <c r="O34" s="100">
        <v>73</v>
      </c>
      <c r="P34" s="100">
        <f>SUM(M34:O35)</f>
        <v>107</v>
      </c>
      <c r="Q34" s="100">
        <v>23</v>
      </c>
      <c r="R34" s="100">
        <v>15</v>
      </c>
      <c r="S34" s="100">
        <v>84</v>
      </c>
      <c r="T34" s="100">
        <f>SUM(Q34:S35)</f>
        <v>122</v>
      </c>
      <c r="U34" s="100">
        <v>24</v>
      </c>
      <c r="V34" s="100">
        <v>15</v>
      </c>
      <c r="W34" s="100">
        <v>91</v>
      </c>
      <c r="X34" s="100">
        <f>SUM(U34:W35)</f>
        <v>130</v>
      </c>
      <c r="Y34" s="100">
        <v>32</v>
      </c>
      <c r="Z34" s="100">
        <v>17</v>
      </c>
      <c r="AA34" s="100">
        <v>77</v>
      </c>
      <c r="AB34" s="100">
        <f>SUM(Y34:AA35)</f>
        <v>126</v>
      </c>
      <c r="AC34" s="100">
        <v>21</v>
      </c>
      <c r="AD34" s="100">
        <v>15</v>
      </c>
      <c r="AE34" s="100">
        <v>62</v>
      </c>
      <c r="AF34" s="100">
        <f>SUM(AC34:AE35)</f>
        <v>98</v>
      </c>
      <c r="AG34" s="100">
        <v>23</v>
      </c>
      <c r="AH34" s="100">
        <v>13</v>
      </c>
      <c r="AI34" s="100">
        <v>100</v>
      </c>
      <c r="AJ34" s="100">
        <f>SUM(AG34:AI35)</f>
        <v>136</v>
      </c>
      <c r="AK34" s="100">
        <v>28</v>
      </c>
      <c r="AL34" s="100">
        <v>21</v>
      </c>
      <c r="AM34" s="100">
        <v>116</v>
      </c>
      <c r="AN34" s="100">
        <f>SUM(AK34:AM35)</f>
        <v>165</v>
      </c>
      <c r="AO34" s="100">
        <v>28</v>
      </c>
      <c r="AP34" s="100">
        <v>24</v>
      </c>
      <c r="AQ34" s="100">
        <v>124</v>
      </c>
      <c r="AR34" s="100">
        <f>SUM(AO34:AQ35)</f>
        <v>176</v>
      </c>
      <c r="AS34" s="100">
        <v>26</v>
      </c>
      <c r="AT34" s="100">
        <v>25</v>
      </c>
      <c r="AU34" s="100">
        <v>126</v>
      </c>
      <c r="AV34" s="100">
        <f>SUM(AS34:AU35)</f>
        <v>177</v>
      </c>
      <c r="AW34" s="100">
        <v>26</v>
      </c>
      <c r="AX34" s="100">
        <v>26</v>
      </c>
      <c r="AY34" s="100">
        <v>129</v>
      </c>
      <c r="AZ34" s="100">
        <f>SUM(AW34:AY35)</f>
        <v>181</v>
      </c>
      <c r="BA34" s="109"/>
      <c r="BB34" s="111"/>
      <c r="BC34" s="11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customFormat="1" ht="33" customHeight="1">
      <c r="A35" s="101"/>
      <c r="B35" s="101"/>
      <c r="C35" s="96"/>
      <c r="D35" s="117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9"/>
      <c r="BB35" s="111"/>
      <c r="BC35" s="11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customFormat="1" ht="50.25" customHeight="1">
      <c r="A36" s="101"/>
      <c r="B36" s="101"/>
      <c r="C36" s="43" t="s">
        <v>62</v>
      </c>
      <c r="D36" s="47" t="s">
        <v>106</v>
      </c>
      <c r="E36" s="118" t="s">
        <v>64</v>
      </c>
      <c r="F36" s="119"/>
      <c r="G36" s="119"/>
      <c r="H36" s="120"/>
      <c r="I36" s="118" t="s">
        <v>65</v>
      </c>
      <c r="J36" s="119"/>
      <c r="K36" s="119"/>
      <c r="L36" s="120"/>
      <c r="M36" s="118" t="s">
        <v>66</v>
      </c>
      <c r="N36" s="119"/>
      <c r="O36" s="119"/>
      <c r="P36" s="120"/>
      <c r="Q36" s="118" t="s">
        <v>67</v>
      </c>
      <c r="R36" s="119"/>
      <c r="S36" s="119"/>
      <c r="T36" s="120"/>
      <c r="U36" s="118" t="s">
        <v>68</v>
      </c>
      <c r="V36" s="119"/>
      <c r="W36" s="119"/>
      <c r="X36" s="120"/>
      <c r="Y36" s="118" t="s">
        <v>69</v>
      </c>
      <c r="Z36" s="119"/>
      <c r="AA36" s="119"/>
      <c r="AB36" s="120"/>
      <c r="AC36" s="118" t="s">
        <v>70</v>
      </c>
      <c r="AD36" s="119"/>
      <c r="AE36" s="119"/>
      <c r="AF36" s="120"/>
      <c r="AG36" s="118" t="s">
        <v>107</v>
      </c>
      <c r="AH36" s="119"/>
      <c r="AI36" s="119"/>
      <c r="AJ36" s="120"/>
      <c r="AK36" s="118" t="s">
        <v>86</v>
      </c>
      <c r="AL36" s="119"/>
      <c r="AM36" s="119"/>
      <c r="AN36" s="120"/>
      <c r="AO36" s="118" t="s">
        <v>73</v>
      </c>
      <c r="AP36" s="119"/>
      <c r="AQ36" s="119"/>
      <c r="AR36" s="120"/>
      <c r="AS36" s="118" t="s">
        <v>74</v>
      </c>
      <c r="AT36" s="119"/>
      <c r="AU36" s="119"/>
      <c r="AV36" s="120"/>
      <c r="AW36" s="118" t="s">
        <v>75</v>
      </c>
      <c r="AX36" s="119"/>
      <c r="AY36" s="119"/>
      <c r="AZ36" s="120"/>
      <c r="BA36" s="109"/>
      <c r="BB36" s="111"/>
      <c r="BC36" s="11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customFormat="1" ht="63" customHeight="1">
      <c r="A37" s="101"/>
      <c r="B37" s="101"/>
      <c r="C37" s="43" t="s">
        <v>76</v>
      </c>
      <c r="D37" s="43" t="s">
        <v>108</v>
      </c>
      <c r="E37" s="60" t="s">
        <v>25</v>
      </c>
      <c r="F37" s="60" t="s">
        <v>26</v>
      </c>
      <c r="G37" s="60" t="s">
        <v>27</v>
      </c>
      <c r="H37" s="60" t="s">
        <v>59</v>
      </c>
      <c r="I37" s="60" t="s">
        <v>25</v>
      </c>
      <c r="J37" s="60" t="s">
        <v>26</v>
      </c>
      <c r="K37" s="60" t="s">
        <v>27</v>
      </c>
      <c r="L37" s="60" t="s">
        <v>59</v>
      </c>
      <c r="M37" s="60" t="s">
        <v>25</v>
      </c>
      <c r="N37" s="60" t="s">
        <v>26</v>
      </c>
      <c r="O37" s="60" t="s">
        <v>27</v>
      </c>
      <c r="P37" s="60" t="s">
        <v>59</v>
      </c>
      <c r="Q37" s="60" t="s">
        <v>25</v>
      </c>
      <c r="R37" s="60" t="s">
        <v>26</v>
      </c>
      <c r="S37" s="60" t="s">
        <v>27</v>
      </c>
      <c r="T37" s="60" t="s">
        <v>59</v>
      </c>
      <c r="U37" s="60" t="s">
        <v>25</v>
      </c>
      <c r="V37" s="60" t="s">
        <v>26</v>
      </c>
      <c r="W37" s="60" t="s">
        <v>27</v>
      </c>
      <c r="X37" s="60" t="s">
        <v>59</v>
      </c>
      <c r="Y37" s="60" t="s">
        <v>25</v>
      </c>
      <c r="Z37" s="60" t="s">
        <v>26</v>
      </c>
      <c r="AA37" s="60" t="s">
        <v>27</v>
      </c>
      <c r="AB37" s="60" t="s">
        <v>59</v>
      </c>
      <c r="AC37" s="60" t="s">
        <v>25</v>
      </c>
      <c r="AD37" s="60" t="s">
        <v>26</v>
      </c>
      <c r="AE37" s="60" t="s">
        <v>27</v>
      </c>
      <c r="AF37" s="60" t="s">
        <v>59</v>
      </c>
      <c r="AG37" s="60" t="s">
        <v>25</v>
      </c>
      <c r="AH37" s="60" t="s">
        <v>26</v>
      </c>
      <c r="AI37" s="60" t="s">
        <v>109</v>
      </c>
      <c r="AJ37" s="60" t="s">
        <v>59</v>
      </c>
      <c r="AK37" s="60" t="s">
        <v>25</v>
      </c>
      <c r="AL37" s="60" t="s">
        <v>26</v>
      </c>
      <c r="AM37" s="60" t="s">
        <v>27</v>
      </c>
      <c r="AN37" s="60" t="s">
        <v>59</v>
      </c>
      <c r="AO37" s="60" t="s">
        <v>25</v>
      </c>
      <c r="AP37" s="60" t="s">
        <v>26</v>
      </c>
      <c r="AQ37" s="60" t="s">
        <v>27</v>
      </c>
      <c r="AR37" s="60" t="s">
        <v>59</v>
      </c>
      <c r="AS37" s="60" t="s">
        <v>25</v>
      </c>
      <c r="AT37" s="60" t="s">
        <v>26</v>
      </c>
      <c r="AU37" s="60" t="s">
        <v>27</v>
      </c>
      <c r="AV37" s="43" t="s">
        <v>59</v>
      </c>
      <c r="AW37" s="43" t="s">
        <v>25</v>
      </c>
      <c r="AX37" s="43" t="s">
        <v>26</v>
      </c>
      <c r="AY37" s="43" t="s">
        <v>27</v>
      </c>
      <c r="AZ37" s="43" t="s">
        <v>59</v>
      </c>
      <c r="BA37" s="109"/>
      <c r="BB37" s="111"/>
      <c r="BC37" s="11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  <row r="38" spans="1:256" customFormat="1" ht="64.5" customHeight="1">
      <c r="A38" s="96"/>
      <c r="B38" s="96"/>
      <c r="C38" s="43" t="s">
        <v>88</v>
      </c>
      <c r="D38" s="45" t="s">
        <v>110</v>
      </c>
      <c r="E38" s="50">
        <v>0.17</v>
      </c>
      <c r="F38" s="59">
        <v>0.255</v>
      </c>
      <c r="G38" s="59">
        <v>1.5</v>
      </c>
      <c r="H38" s="59">
        <f>SUM(E38:G38)</f>
        <v>1.925</v>
      </c>
      <c r="I38" s="59">
        <v>0.21</v>
      </c>
      <c r="J38" s="59">
        <v>0.24</v>
      </c>
      <c r="K38" s="59">
        <v>1.62</v>
      </c>
      <c r="L38" s="59">
        <f>SUM(I38:K38)</f>
        <v>2.0700000000000003</v>
      </c>
      <c r="M38" s="59">
        <v>0.19</v>
      </c>
      <c r="N38" s="59">
        <v>0.22500000000000001</v>
      </c>
      <c r="O38" s="59">
        <v>1.46</v>
      </c>
      <c r="P38" s="59">
        <f>SUM(M38:O38)</f>
        <v>1.875</v>
      </c>
      <c r="Q38" s="59">
        <v>0.23</v>
      </c>
      <c r="R38" s="59">
        <v>0.22500000000000001</v>
      </c>
      <c r="S38" s="59">
        <v>1.68</v>
      </c>
      <c r="T38" s="59">
        <f>SUM(Q38:S38)</f>
        <v>2.1349999999999998</v>
      </c>
      <c r="U38" s="59">
        <v>0.24</v>
      </c>
      <c r="V38" s="59">
        <v>0.22500000000000001</v>
      </c>
      <c r="W38" s="59">
        <v>1.82</v>
      </c>
      <c r="X38" s="59">
        <f>SUM(U38:W38)</f>
        <v>2.2850000000000001</v>
      </c>
      <c r="Y38" s="59">
        <v>0.20833400000000002</v>
      </c>
      <c r="Z38" s="59">
        <v>0.1265</v>
      </c>
      <c r="AA38" s="59">
        <v>0.67500199999999999</v>
      </c>
      <c r="AB38" s="59">
        <f>SUM(Y38:AA38)</f>
        <v>1.009836</v>
      </c>
      <c r="AC38" s="59">
        <v>0.12931100000000001</v>
      </c>
      <c r="AD38" s="59">
        <v>8.2741999999999996E-2</v>
      </c>
      <c r="AE38" s="59">
        <v>0.44580699999999995</v>
      </c>
      <c r="AF38" s="59">
        <f>SUM(AC38:AE38)</f>
        <v>0.65785999999999989</v>
      </c>
      <c r="AG38" s="59">
        <v>0.12548499999999999</v>
      </c>
      <c r="AH38" s="59">
        <v>7.1614999999999998E-2</v>
      </c>
      <c r="AI38" s="59">
        <v>0.60435099999999997</v>
      </c>
      <c r="AJ38" s="59">
        <f>SUM(AG38:AI38)</f>
        <v>0.80145099999999991</v>
      </c>
      <c r="AK38" s="59">
        <v>0.25233499999999998</v>
      </c>
      <c r="AL38" s="59">
        <v>0.29483300000000001</v>
      </c>
      <c r="AM38" s="59">
        <v>2.0746519999999999</v>
      </c>
      <c r="AN38" s="59">
        <f>SUM(AK38:AM38)</f>
        <v>2.62182</v>
      </c>
      <c r="AO38" s="59">
        <v>0.25677499999999998</v>
      </c>
      <c r="AP38" s="59">
        <v>0.32709699999999997</v>
      </c>
      <c r="AQ38" s="59">
        <v>2.271614</v>
      </c>
      <c r="AR38" s="59">
        <f>SUM(AO38:AQ38)</f>
        <v>2.855486</v>
      </c>
      <c r="AS38" s="59">
        <v>0.251</v>
      </c>
      <c r="AT38" s="59">
        <v>0.35849999999999999</v>
      </c>
      <c r="AU38" s="59">
        <v>2.390666</v>
      </c>
      <c r="AV38" s="59">
        <f>SUM(AS38:AU38)</f>
        <v>3.0001660000000001</v>
      </c>
      <c r="AW38" s="59">
        <v>0.249031</v>
      </c>
      <c r="AX38" s="59">
        <v>0.354516</v>
      </c>
      <c r="AY38" s="59">
        <v>2.413548</v>
      </c>
      <c r="AZ38" s="59">
        <f>SUM(AW38:AY38)</f>
        <v>3.0170950000000003</v>
      </c>
      <c r="BA38" s="102"/>
      <c r="BB38" s="112"/>
      <c r="BC38" s="115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spans="1:256" customFormat="1" ht="63.75" customHeight="1">
      <c r="A39" s="43" t="s">
        <v>1</v>
      </c>
      <c r="B39" s="43" t="s">
        <v>2</v>
      </c>
      <c r="C39" s="43" t="s">
        <v>16</v>
      </c>
      <c r="D39" s="43" t="s">
        <v>116</v>
      </c>
      <c r="E39" s="79" t="s">
        <v>45</v>
      </c>
      <c r="F39" s="79"/>
      <c r="G39" s="79"/>
      <c r="H39" s="79"/>
      <c r="I39" s="79" t="s">
        <v>46</v>
      </c>
      <c r="J39" s="79"/>
      <c r="K39" s="79"/>
      <c r="L39" s="79"/>
      <c r="M39" s="79" t="s">
        <v>47</v>
      </c>
      <c r="N39" s="79"/>
      <c r="O39" s="79"/>
      <c r="P39" s="79"/>
      <c r="Q39" s="79" t="s">
        <v>48</v>
      </c>
      <c r="R39" s="79"/>
      <c r="S39" s="79"/>
      <c r="T39" s="79"/>
      <c r="U39" s="79" t="s">
        <v>49</v>
      </c>
      <c r="V39" s="79"/>
      <c r="W39" s="79"/>
      <c r="X39" s="79"/>
      <c r="Y39" s="79" t="s">
        <v>50</v>
      </c>
      <c r="Z39" s="79"/>
      <c r="AA39" s="79"/>
      <c r="AB39" s="79"/>
      <c r="AC39" s="79" t="s">
        <v>51</v>
      </c>
      <c r="AD39" s="79"/>
      <c r="AE39" s="79"/>
      <c r="AF39" s="79"/>
      <c r="AG39" s="93" t="s">
        <v>52</v>
      </c>
      <c r="AH39" s="93"/>
      <c r="AI39" s="93"/>
      <c r="AJ39" s="93"/>
      <c r="AK39" s="79" t="s">
        <v>53</v>
      </c>
      <c r="AL39" s="79"/>
      <c r="AM39" s="79"/>
      <c r="AN39" s="79"/>
      <c r="AO39" s="79" t="s">
        <v>54</v>
      </c>
      <c r="AP39" s="79"/>
      <c r="AQ39" s="79"/>
      <c r="AR39" s="79"/>
      <c r="AS39" s="79" t="s">
        <v>55</v>
      </c>
      <c r="AT39" s="79"/>
      <c r="AU39" s="79"/>
      <c r="AV39" s="79"/>
      <c r="AW39" s="79" t="s">
        <v>56</v>
      </c>
      <c r="AX39" s="79"/>
      <c r="AY39" s="79"/>
      <c r="AZ39" s="79"/>
      <c r="BA39" s="43" t="s">
        <v>57</v>
      </c>
      <c r="BB39" s="43" t="s">
        <v>23</v>
      </c>
      <c r="BC39" s="43" t="s">
        <v>24</v>
      </c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spans="1:256" customFormat="1" ht="64.5" customHeight="1">
      <c r="A40" s="79" t="s">
        <v>121</v>
      </c>
      <c r="B40" s="79" t="s">
        <v>91</v>
      </c>
      <c r="C40" s="43" t="s">
        <v>17</v>
      </c>
      <c r="D40" s="45" t="s">
        <v>117</v>
      </c>
      <c r="E40" s="43" t="s">
        <v>25</v>
      </c>
      <c r="F40" s="43" t="s">
        <v>26</v>
      </c>
      <c r="G40" s="43" t="s">
        <v>27</v>
      </c>
      <c r="H40" s="43" t="s">
        <v>59</v>
      </c>
      <c r="I40" s="43" t="s">
        <v>25</v>
      </c>
      <c r="J40" s="43" t="s">
        <v>26</v>
      </c>
      <c r="K40" s="43" t="s">
        <v>27</v>
      </c>
      <c r="L40" s="43" t="s">
        <v>59</v>
      </c>
      <c r="M40" s="43" t="s">
        <v>25</v>
      </c>
      <c r="N40" s="43" t="s">
        <v>26</v>
      </c>
      <c r="O40" s="43" t="s">
        <v>27</v>
      </c>
      <c r="P40" s="43" t="s">
        <v>59</v>
      </c>
      <c r="Q40" s="43" t="s">
        <v>25</v>
      </c>
      <c r="R40" s="43" t="s">
        <v>26</v>
      </c>
      <c r="S40" s="43" t="s">
        <v>27</v>
      </c>
      <c r="T40" s="43" t="s">
        <v>59</v>
      </c>
      <c r="U40" s="43" t="s">
        <v>25</v>
      </c>
      <c r="V40" s="43" t="s">
        <v>26</v>
      </c>
      <c r="W40" s="43" t="s">
        <v>27</v>
      </c>
      <c r="X40" s="43" t="s">
        <v>59</v>
      </c>
      <c r="Y40" s="43" t="s">
        <v>25</v>
      </c>
      <c r="Z40" s="43" t="s">
        <v>26</v>
      </c>
      <c r="AA40" s="43" t="s">
        <v>27</v>
      </c>
      <c r="AB40" s="43" t="s">
        <v>59</v>
      </c>
      <c r="AC40" s="43" t="s">
        <v>25</v>
      </c>
      <c r="AD40" s="43" t="s">
        <v>26</v>
      </c>
      <c r="AE40" s="43" t="s">
        <v>27</v>
      </c>
      <c r="AF40" s="43" t="s">
        <v>59</v>
      </c>
      <c r="AG40" s="43" t="s">
        <v>25</v>
      </c>
      <c r="AH40" s="43" t="s">
        <v>26</v>
      </c>
      <c r="AI40" s="43" t="s">
        <v>27</v>
      </c>
      <c r="AJ40" s="43" t="s">
        <v>59</v>
      </c>
      <c r="AK40" s="43" t="s">
        <v>25</v>
      </c>
      <c r="AL40" s="43" t="s">
        <v>26</v>
      </c>
      <c r="AM40" s="43" t="s">
        <v>27</v>
      </c>
      <c r="AN40" s="43" t="s">
        <v>59</v>
      </c>
      <c r="AO40" s="43" t="s">
        <v>25</v>
      </c>
      <c r="AP40" s="43" t="s">
        <v>26</v>
      </c>
      <c r="AQ40" s="43" t="s">
        <v>27</v>
      </c>
      <c r="AR40" s="43" t="s">
        <v>59</v>
      </c>
      <c r="AS40" s="43" t="s">
        <v>25</v>
      </c>
      <c r="AT40" s="43" t="s">
        <v>26</v>
      </c>
      <c r="AU40" s="43" t="s">
        <v>27</v>
      </c>
      <c r="AV40" s="43" t="s">
        <v>59</v>
      </c>
      <c r="AW40" s="43" t="s">
        <v>25</v>
      </c>
      <c r="AX40" s="43" t="s">
        <v>26</v>
      </c>
      <c r="AY40" s="43" t="s">
        <v>27</v>
      </c>
      <c r="AZ40" s="43" t="s">
        <v>59</v>
      </c>
      <c r="BA40" s="100">
        <v>179</v>
      </c>
      <c r="BB40" s="121">
        <f>38567.3/10000</f>
        <v>3.8567300000000002</v>
      </c>
      <c r="BC40" s="110">
        <f>BB40/2</f>
        <v>1.9283650000000001</v>
      </c>
      <c r="BD40" s="61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</row>
    <row r="41" spans="1:256" customFormat="1" ht="36.75" customHeight="1">
      <c r="A41" s="79"/>
      <c r="B41" s="79"/>
      <c r="C41" s="95" t="s">
        <v>18</v>
      </c>
      <c r="D41" s="97" t="s">
        <v>118</v>
      </c>
      <c r="E41" s="100"/>
      <c r="F41" s="100"/>
      <c r="G41" s="100">
        <v>16</v>
      </c>
      <c r="H41" s="100">
        <v>16</v>
      </c>
      <c r="I41" s="95"/>
      <c r="J41" s="95"/>
      <c r="K41" s="100">
        <v>16</v>
      </c>
      <c r="L41" s="100">
        <v>16</v>
      </c>
      <c r="M41" s="95"/>
      <c r="N41" s="95"/>
      <c r="O41" s="100">
        <v>16</v>
      </c>
      <c r="P41" s="100">
        <v>16</v>
      </c>
      <c r="Q41" s="95"/>
      <c r="R41" s="95"/>
      <c r="S41" s="100">
        <v>16</v>
      </c>
      <c r="T41" s="100">
        <v>16</v>
      </c>
      <c r="U41" s="95"/>
      <c r="V41" s="95"/>
      <c r="W41" s="100">
        <v>14</v>
      </c>
      <c r="X41" s="100">
        <v>14</v>
      </c>
      <c r="Y41" s="95"/>
      <c r="Z41" s="95"/>
      <c r="AA41" s="100">
        <v>14</v>
      </c>
      <c r="AB41" s="100">
        <v>14</v>
      </c>
      <c r="AC41" s="95"/>
      <c r="AD41" s="95"/>
      <c r="AE41" s="100">
        <v>10</v>
      </c>
      <c r="AF41" s="100">
        <v>10</v>
      </c>
      <c r="AG41" s="95"/>
      <c r="AH41" s="95"/>
      <c r="AI41" s="100">
        <v>12</v>
      </c>
      <c r="AJ41" s="100">
        <v>12</v>
      </c>
      <c r="AK41" s="95"/>
      <c r="AL41" s="100"/>
      <c r="AM41" s="100">
        <v>12</v>
      </c>
      <c r="AN41" s="95">
        <f>SUM(AK41:AM42)</f>
        <v>12</v>
      </c>
      <c r="AO41" s="95"/>
      <c r="AP41" s="100">
        <v>2</v>
      </c>
      <c r="AQ41" s="100">
        <v>16</v>
      </c>
      <c r="AR41" s="100">
        <v>18</v>
      </c>
      <c r="AS41" s="95"/>
      <c r="AT41" s="100">
        <v>2</v>
      </c>
      <c r="AU41" s="100">
        <v>15</v>
      </c>
      <c r="AV41" s="100">
        <v>17</v>
      </c>
      <c r="AW41" s="95"/>
      <c r="AX41" s="100">
        <v>2</v>
      </c>
      <c r="AY41" s="100">
        <v>16</v>
      </c>
      <c r="AZ41" s="95">
        <f>SUM(AW41:AY42)</f>
        <v>18</v>
      </c>
      <c r="BA41" s="101"/>
      <c r="BB41" s="122"/>
      <c r="BC41" s="111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</row>
    <row r="42" spans="1:256" customFormat="1" ht="33" customHeight="1">
      <c r="A42" s="79"/>
      <c r="B42" s="79"/>
      <c r="C42" s="96"/>
      <c r="D42" s="98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101"/>
      <c r="BB42" s="122"/>
      <c r="BC42" s="111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spans="1:256" customFormat="1" ht="50.25" customHeight="1">
      <c r="A43" s="79"/>
      <c r="B43" s="79"/>
      <c r="C43" s="43" t="s">
        <v>62</v>
      </c>
      <c r="D43" s="47" t="s">
        <v>119</v>
      </c>
      <c r="E43" s="79" t="s">
        <v>64</v>
      </c>
      <c r="F43" s="79"/>
      <c r="G43" s="79"/>
      <c r="H43" s="79"/>
      <c r="I43" s="79" t="s">
        <v>65</v>
      </c>
      <c r="J43" s="79"/>
      <c r="K43" s="79"/>
      <c r="L43" s="79"/>
      <c r="M43" s="79" t="s">
        <v>66</v>
      </c>
      <c r="N43" s="79"/>
      <c r="O43" s="79"/>
      <c r="P43" s="79"/>
      <c r="Q43" s="79" t="s">
        <v>67</v>
      </c>
      <c r="R43" s="79"/>
      <c r="S43" s="79"/>
      <c r="T43" s="79"/>
      <c r="U43" s="79" t="s">
        <v>68</v>
      </c>
      <c r="V43" s="79"/>
      <c r="W43" s="79"/>
      <c r="X43" s="79"/>
      <c r="Y43" s="79" t="s">
        <v>69</v>
      </c>
      <c r="Z43" s="79"/>
      <c r="AA43" s="79"/>
      <c r="AB43" s="79"/>
      <c r="AC43" s="79" t="s">
        <v>70</v>
      </c>
      <c r="AD43" s="79"/>
      <c r="AE43" s="79"/>
      <c r="AF43" s="79"/>
      <c r="AG43" s="79" t="s">
        <v>71</v>
      </c>
      <c r="AH43" s="79"/>
      <c r="AI43" s="79"/>
      <c r="AJ43" s="79"/>
      <c r="AK43" s="79" t="s">
        <v>86</v>
      </c>
      <c r="AL43" s="79"/>
      <c r="AM43" s="79"/>
      <c r="AN43" s="79"/>
      <c r="AO43" s="79" t="s">
        <v>73</v>
      </c>
      <c r="AP43" s="79"/>
      <c r="AQ43" s="79"/>
      <c r="AR43" s="79"/>
      <c r="AS43" s="79" t="s">
        <v>74</v>
      </c>
      <c r="AT43" s="79"/>
      <c r="AU43" s="79"/>
      <c r="AV43" s="79"/>
      <c r="AW43" s="79" t="s">
        <v>75</v>
      </c>
      <c r="AX43" s="79"/>
      <c r="AY43" s="79"/>
      <c r="AZ43" s="79"/>
      <c r="BA43" s="101"/>
      <c r="BB43" s="122"/>
      <c r="BC43" s="111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</row>
    <row r="44" spans="1:256" customFormat="1" ht="63" customHeight="1">
      <c r="A44" s="79"/>
      <c r="B44" s="79"/>
      <c r="C44" s="43" t="s">
        <v>76</v>
      </c>
      <c r="D44" s="43" t="s">
        <v>120</v>
      </c>
      <c r="E44" s="43" t="s">
        <v>25</v>
      </c>
      <c r="F44" s="43" t="s">
        <v>26</v>
      </c>
      <c r="G44" s="43" t="s">
        <v>27</v>
      </c>
      <c r="H44" s="43" t="s">
        <v>59</v>
      </c>
      <c r="I44" s="43" t="s">
        <v>25</v>
      </c>
      <c r="J44" s="43" t="s">
        <v>26</v>
      </c>
      <c r="K44" s="43" t="s">
        <v>27</v>
      </c>
      <c r="L44" s="43" t="s">
        <v>59</v>
      </c>
      <c r="M44" s="43" t="s">
        <v>25</v>
      </c>
      <c r="N44" s="43" t="s">
        <v>26</v>
      </c>
      <c r="O44" s="43" t="s">
        <v>27</v>
      </c>
      <c r="P44" s="43" t="s">
        <v>59</v>
      </c>
      <c r="Q44" s="43" t="s">
        <v>25</v>
      </c>
      <c r="R44" s="43" t="s">
        <v>26</v>
      </c>
      <c r="S44" s="43" t="s">
        <v>27</v>
      </c>
      <c r="T44" s="43" t="s">
        <v>59</v>
      </c>
      <c r="U44" s="43" t="s">
        <v>25</v>
      </c>
      <c r="V44" s="43" t="s">
        <v>26</v>
      </c>
      <c r="W44" s="43" t="s">
        <v>27</v>
      </c>
      <c r="X44" s="43" t="s">
        <v>59</v>
      </c>
      <c r="Y44" s="43" t="s">
        <v>25</v>
      </c>
      <c r="Z44" s="43" t="s">
        <v>26</v>
      </c>
      <c r="AA44" s="43" t="s">
        <v>27</v>
      </c>
      <c r="AB44" s="43" t="s">
        <v>59</v>
      </c>
      <c r="AC44" s="43" t="s">
        <v>25</v>
      </c>
      <c r="AD44" s="43" t="s">
        <v>26</v>
      </c>
      <c r="AE44" s="43" t="s">
        <v>27</v>
      </c>
      <c r="AF44" s="43" t="s">
        <v>59</v>
      </c>
      <c r="AG44" s="43" t="s">
        <v>25</v>
      </c>
      <c r="AH44" s="43" t="s">
        <v>26</v>
      </c>
      <c r="AI44" s="43" t="s">
        <v>27</v>
      </c>
      <c r="AJ44" s="43" t="s">
        <v>59</v>
      </c>
      <c r="AK44" s="43" t="s">
        <v>25</v>
      </c>
      <c r="AL44" s="43" t="s">
        <v>26</v>
      </c>
      <c r="AM44" s="43" t="s">
        <v>27</v>
      </c>
      <c r="AN44" s="43" t="s">
        <v>59</v>
      </c>
      <c r="AO44" s="43" t="s">
        <v>25</v>
      </c>
      <c r="AP44" s="43" t="s">
        <v>26</v>
      </c>
      <c r="AQ44" s="43" t="s">
        <v>27</v>
      </c>
      <c r="AR44" s="43" t="s">
        <v>59</v>
      </c>
      <c r="AS44" s="43" t="s">
        <v>25</v>
      </c>
      <c r="AT44" s="43" t="s">
        <v>26</v>
      </c>
      <c r="AU44" s="43" t="s">
        <v>27</v>
      </c>
      <c r="AV44" s="43" t="s">
        <v>59</v>
      </c>
      <c r="AW44" s="43" t="s">
        <v>25</v>
      </c>
      <c r="AX44" s="43" t="s">
        <v>26</v>
      </c>
      <c r="AY44" s="43" t="s">
        <v>27</v>
      </c>
      <c r="AZ44" s="43" t="s">
        <v>59</v>
      </c>
      <c r="BA44" s="101"/>
      <c r="BB44" s="122"/>
      <c r="BC44" s="111"/>
      <c r="BD44" s="58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customFormat="1" ht="64.5" customHeight="1">
      <c r="A45" s="79"/>
      <c r="B45" s="79"/>
      <c r="C45" s="57" t="s">
        <v>88</v>
      </c>
      <c r="D45" s="62">
        <v>17</v>
      </c>
      <c r="E45" s="63">
        <v>0</v>
      </c>
      <c r="F45" s="63">
        <v>0</v>
      </c>
      <c r="G45" s="63">
        <v>0.41599999999999998</v>
      </c>
      <c r="H45" s="63">
        <f>SUM(E45:G45)</f>
        <v>0.41599999999999998</v>
      </c>
      <c r="I45" s="63">
        <v>0</v>
      </c>
      <c r="J45" s="63">
        <v>0</v>
      </c>
      <c r="K45" s="63">
        <v>0.41599999999999998</v>
      </c>
      <c r="L45" s="63">
        <f>SUM(I45:K45)</f>
        <v>0.41599999999999998</v>
      </c>
      <c r="M45" s="63">
        <v>0</v>
      </c>
      <c r="N45" s="63">
        <v>0</v>
      </c>
      <c r="O45" s="63">
        <v>0.41599999999999998</v>
      </c>
      <c r="P45" s="63">
        <f>SUM(M45:O45)</f>
        <v>0.41599999999999998</v>
      </c>
      <c r="Q45" s="63">
        <v>0</v>
      </c>
      <c r="R45" s="63">
        <v>0</v>
      </c>
      <c r="S45" s="63">
        <v>0.41599999999999998</v>
      </c>
      <c r="T45" s="63">
        <f>SUM(Q45:S45)</f>
        <v>0.41599999999999998</v>
      </c>
      <c r="U45" s="63">
        <v>0</v>
      </c>
      <c r="V45" s="63">
        <v>0</v>
      </c>
      <c r="W45" s="63">
        <v>0.36399999999999999</v>
      </c>
      <c r="X45" s="63">
        <f>SUM(U45:W45)</f>
        <v>0.36399999999999999</v>
      </c>
      <c r="Y45" s="63">
        <v>0</v>
      </c>
      <c r="Z45" s="63">
        <v>0</v>
      </c>
      <c r="AA45" s="63">
        <v>0.36399999999999999</v>
      </c>
      <c r="AB45" s="63">
        <f>SUM(Y45:AA45)</f>
        <v>0.36399999999999999</v>
      </c>
      <c r="AC45" s="63">
        <v>0</v>
      </c>
      <c r="AD45" s="63">
        <v>0</v>
      </c>
      <c r="AE45" s="63">
        <f>503.2/10000</f>
        <v>5.0319999999999997E-2</v>
      </c>
      <c r="AF45" s="63">
        <f>SUM(AC45:AE45)</f>
        <v>5.0319999999999997E-2</v>
      </c>
      <c r="AG45" s="63">
        <v>0</v>
      </c>
      <c r="AH45" s="63">
        <v>0</v>
      </c>
      <c r="AI45" s="63">
        <v>0.117423</v>
      </c>
      <c r="AJ45" s="63">
        <f>SUM(AG45:AI45)</f>
        <v>0.117423</v>
      </c>
      <c r="AK45" s="63">
        <v>0</v>
      </c>
      <c r="AL45" s="63">
        <v>0</v>
      </c>
      <c r="AM45" s="63">
        <f>1174.23/10000</f>
        <v>0.117423</v>
      </c>
      <c r="AN45" s="63">
        <f>SUM(AK45:AM45)</f>
        <v>0.117423</v>
      </c>
      <c r="AO45" s="63">
        <v>0</v>
      </c>
      <c r="AP45" s="63">
        <f>419.36/10000</f>
        <v>4.1936000000000001E-2</v>
      </c>
      <c r="AQ45" s="63">
        <f>3530.97/10000</f>
        <v>0.35309699999999999</v>
      </c>
      <c r="AR45" s="63">
        <f>SUM(AO45:AQ45)</f>
        <v>0.39503299999999997</v>
      </c>
      <c r="AS45" s="63">
        <v>0</v>
      </c>
      <c r="AT45" s="63">
        <f>520/10000</f>
        <v>5.1999999999999998E-2</v>
      </c>
      <c r="AU45" s="63">
        <f>3484/10000</f>
        <v>0.34839999999999999</v>
      </c>
      <c r="AV45" s="63">
        <f>SUM(AS45:AU45)</f>
        <v>0.40039999999999998</v>
      </c>
      <c r="AW45" s="63">
        <v>0</v>
      </c>
      <c r="AX45" s="64">
        <f>134.2/10000</f>
        <v>1.342E-2</v>
      </c>
      <c r="AY45" s="63">
        <f>3707.11/10000</f>
        <v>0.37071100000000001</v>
      </c>
      <c r="AZ45" s="63">
        <f>SUM(AW45:AY45)</f>
        <v>0.384131</v>
      </c>
      <c r="BA45" s="96"/>
      <c r="BB45" s="123"/>
      <c r="BC45" s="112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</row>
    <row r="46" spans="1:256" customFormat="1" ht="63.75" customHeight="1">
      <c r="A46" s="43" t="s">
        <v>1</v>
      </c>
      <c r="B46" s="43" t="s">
        <v>2</v>
      </c>
      <c r="C46" s="43" t="s">
        <v>16</v>
      </c>
      <c r="D46" s="43" t="s">
        <v>124</v>
      </c>
      <c r="E46" s="79" t="s">
        <v>45</v>
      </c>
      <c r="F46" s="79"/>
      <c r="G46" s="79"/>
      <c r="H46" s="79"/>
      <c r="I46" s="79" t="s">
        <v>46</v>
      </c>
      <c r="J46" s="79"/>
      <c r="K46" s="79"/>
      <c r="L46" s="79"/>
      <c r="M46" s="79" t="s">
        <v>47</v>
      </c>
      <c r="N46" s="79"/>
      <c r="O46" s="79"/>
      <c r="P46" s="79"/>
      <c r="Q46" s="79" t="s">
        <v>48</v>
      </c>
      <c r="R46" s="79"/>
      <c r="S46" s="79"/>
      <c r="T46" s="79"/>
      <c r="U46" s="79" t="s">
        <v>49</v>
      </c>
      <c r="V46" s="79"/>
      <c r="W46" s="79"/>
      <c r="X46" s="79"/>
      <c r="Y46" s="79" t="s">
        <v>50</v>
      </c>
      <c r="Z46" s="79"/>
      <c r="AA46" s="79"/>
      <c r="AB46" s="79"/>
      <c r="AC46" s="79" t="s">
        <v>51</v>
      </c>
      <c r="AD46" s="79"/>
      <c r="AE46" s="79"/>
      <c r="AF46" s="79"/>
      <c r="AG46" s="93" t="s">
        <v>52</v>
      </c>
      <c r="AH46" s="93"/>
      <c r="AI46" s="93"/>
      <c r="AJ46" s="93"/>
      <c r="AK46" s="79" t="s">
        <v>53</v>
      </c>
      <c r="AL46" s="79"/>
      <c r="AM46" s="79"/>
      <c r="AN46" s="79"/>
      <c r="AO46" s="79" t="s">
        <v>54</v>
      </c>
      <c r="AP46" s="79"/>
      <c r="AQ46" s="79"/>
      <c r="AR46" s="79"/>
      <c r="AS46" s="79" t="s">
        <v>55</v>
      </c>
      <c r="AT46" s="79"/>
      <c r="AU46" s="79"/>
      <c r="AV46" s="79"/>
      <c r="AW46" s="79" t="s">
        <v>56</v>
      </c>
      <c r="AX46" s="79"/>
      <c r="AY46" s="79"/>
      <c r="AZ46" s="79"/>
      <c r="BA46" s="43" t="s">
        <v>57</v>
      </c>
      <c r="BB46" s="43" t="s">
        <v>23</v>
      </c>
      <c r="BC46" s="43" t="s">
        <v>24</v>
      </c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  <row r="47" spans="1:256" customFormat="1" ht="71.25" customHeight="1">
      <c r="A47" s="79" t="s">
        <v>130</v>
      </c>
      <c r="B47" s="79" t="s">
        <v>91</v>
      </c>
      <c r="C47" s="43" t="s">
        <v>17</v>
      </c>
      <c r="D47" s="45" t="s">
        <v>125</v>
      </c>
      <c r="E47" s="46" t="s">
        <v>25</v>
      </c>
      <c r="F47" s="46" t="s">
        <v>26</v>
      </c>
      <c r="G47" s="46" t="s">
        <v>27</v>
      </c>
      <c r="H47" s="46" t="s">
        <v>59</v>
      </c>
      <c r="I47" s="46" t="s">
        <v>25</v>
      </c>
      <c r="J47" s="46" t="s">
        <v>26</v>
      </c>
      <c r="K47" s="46" t="s">
        <v>27</v>
      </c>
      <c r="L47" s="46" t="s">
        <v>59</v>
      </c>
      <c r="M47" s="46" t="s">
        <v>25</v>
      </c>
      <c r="N47" s="46" t="s">
        <v>26</v>
      </c>
      <c r="O47" s="46" t="s">
        <v>27</v>
      </c>
      <c r="P47" s="46" t="s">
        <v>59</v>
      </c>
      <c r="Q47" s="46" t="s">
        <v>25</v>
      </c>
      <c r="R47" s="46" t="s">
        <v>26</v>
      </c>
      <c r="S47" s="46" t="s">
        <v>27</v>
      </c>
      <c r="T47" s="46" t="s">
        <v>59</v>
      </c>
      <c r="U47" s="46" t="s">
        <v>25</v>
      </c>
      <c r="V47" s="46" t="s">
        <v>26</v>
      </c>
      <c r="W47" s="46" t="s">
        <v>27</v>
      </c>
      <c r="X47" s="46" t="s">
        <v>59</v>
      </c>
      <c r="Y47" s="46" t="s">
        <v>25</v>
      </c>
      <c r="Z47" s="46" t="s">
        <v>26</v>
      </c>
      <c r="AA47" s="46" t="s">
        <v>27</v>
      </c>
      <c r="AB47" s="46" t="s">
        <v>59</v>
      </c>
      <c r="AC47" s="46" t="s">
        <v>25</v>
      </c>
      <c r="AD47" s="46" t="s">
        <v>26</v>
      </c>
      <c r="AE47" s="46" t="s">
        <v>27</v>
      </c>
      <c r="AF47" s="46" t="s">
        <v>59</v>
      </c>
      <c r="AG47" s="46" t="s">
        <v>25</v>
      </c>
      <c r="AH47" s="46" t="s">
        <v>26</v>
      </c>
      <c r="AI47" s="46" t="s">
        <v>27</v>
      </c>
      <c r="AJ47" s="46" t="s">
        <v>59</v>
      </c>
      <c r="AK47" s="46" t="s">
        <v>25</v>
      </c>
      <c r="AL47" s="46" t="s">
        <v>26</v>
      </c>
      <c r="AM47" s="46" t="s">
        <v>27</v>
      </c>
      <c r="AN47" s="46" t="s">
        <v>59</v>
      </c>
      <c r="AO47" s="46" t="s">
        <v>25</v>
      </c>
      <c r="AP47" s="46" t="s">
        <v>26</v>
      </c>
      <c r="AQ47" s="46" t="s">
        <v>27</v>
      </c>
      <c r="AR47" s="46" t="s">
        <v>59</v>
      </c>
      <c r="AS47" s="46" t="s">
        <v>25</v>
      </c>
      <c r="AT47" s="46" t="s">
        <v>26</v>
      </c>
      <c r="AU47" s="46" t="s">
        <v>27</v>
      </c>
      <c r="AV47" s="46" t="s">
        <v>59</v>
      </c>
      <c r="AW47" s="46" t="s">
        <v>25</v>
      </c>
      <c r="AX47" s="46" t="s">
        <v>26</v>
      </c>
      <c r="AY47" s="46" t="s">
        <v>27</v>
      </c>
      <c r="AZ47" s="46" t="s">
        <v>59</v>
      </c>
      <c r="BA47" s="90">
        <f>H48+L48+P48+T48+X48+AB48+AF48+AJ48+AN48+AR48+AV48+AZ48</f>
        <v>732</v>
      </c>
      <c r="BB47" s="86">
        <f>(H52+L52+P52+T52+X52+AB52+AF52+AJ52+AN52+AR52+AV52+AZ52)</f>
        <v>14.029781000000002</v>
      </c>
      <c r="BC47" s="94">
        <f>BB47/2</f>
        <v>7.0148905000000008</v>
      </c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</row>
    <row r="48" spans="1:256" customFormat="1" ht="71.25" customHeight="1">
      <c r="A48" s="79"/>
      <c r="B48" s="79"/>
      <c r="C48" s="95" t="s">
        <v>18</v>
      </c>
      <c r="D48" s="97" t="s">
        <v>126</v>
      </c>
      <c r="E48" s="124">
        <v>1</v>
      </c>
      <c r="F48" s="124">
        <v>5</v>
      </c>
      <c r="G48" s="124">
        <v>80</v>
      </c>
      <c r="H48" s="90">
        <v>86</v>
      </c>
      <c r="I48" s="90">
        <v>1</v>
      </c>
      <c r="J48" s="90">
        <v>5</v>
      </c>
      <c r="K48" s="90">
        <v>80</v>
      </c>
      <c r="L48" s="90">
        <v>86</v>
      </c>
      <c r="M48" s="90">
        <v>1</v>
      </c>
      <c r="N48" s="90">
        <v>5</v>
      </c>
      <c r="O48" s="90">
        <v>82</v>
      </c>
      <c r="P48" s="90">
        <v>88</v>
      </c>
      <c r="Q48" s="90">
        <v>1</v>
      </c>
      <c r="R48" s="90">
        <v>5</v>
      </c>
      <c r="S48" s="90">
        <v>85</v>
      </c>
      <c r="T48" s="90">
        <v>91</v>
      </c>
      <c r="U48" s="90">
        <v>1</v>
      </c>
      <c r="V48" s="90">
        <v>5</v>
      </c>
      <c r="W48" s="90">
        <v>85</v>
      </c>
      <c r="X48" s="90">
        <v>91</v>
      </c>
      <c r="Y48" s="90"/>
      <c r="Z48" s="90"/>
      <c r="AA48" s="90">
        <v>40</v>
      </c>
      <c r="AB48" s="90">
        <v>40</v>
      </c>
      <c r="AC48" s="90"/>
      <c r="AD48" s="90"/>
      <c r="AE48" s="90">
        <v>36</v>
      </c>
      <c r="AF48" s="90">
        <v>36</v>
      </c>
      <c r="AG48" s="90"/>
      <c r="AH48" s="90"/>
      <c r="AI48" s="90">
        <v>39</v>
      </c>
      <c r="AJ48" s="90">
        <v>39</v>
      </c>
      <c r="AK48" s="90"/>
      <c r="AL48" s="90"/>
      <c r="AM48" s="90">
        <v>40</v>
      </c>
      <c r="AN48" s="90">
        <v>40</v>
      </c>
      <c r="AO48" s="90"/>
      <c r="AP48" s="90"/>
      <c r="AQ48" s="90">
        <v>46</v>
      </c>
      <c r="AR48" s="90">
        <v>46</v>
      </c>
      <c r="AS48" s="90"/>
      <c r="AT48" s="90"/>
      <c r="AU48" s="90">
        <v>45</v>
      </c>
      <c r="AV48" s="90">
        <v>45</v>
      </c>
      <c r="AW48" s="90"/>
      <c r="AX48" s="90"/>
      <c r="AY48" s="90">
        <v>44</v>
      </c>
      <c r="AZ48" s="90">
        <v>44</v>
      </c>
      <c r="BA48" s="91"/>
      <c r="BB48" s="86"/>
      <c r="BC48" s="9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</row>
    <row r="49" spans="1:256" customFormat="1" ht="9.75" customHeight="1">
      <c r="A49" s="79"/>
      <c r="B49" s="79"/>
      <c r="C49" s="96"/>
      <c r="D49" s="98"/>
      <c r="E49" s="125"/>
      <c r="F49" s="125"/>
      <c r="G49" s="125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1"/>
      <c r="BB49" s="86"/>
      <c r="BC49" s="9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</row>
    <row r="50" spans="1:256" customFormat="1" ht="71.25" customHeight="1">
      <c r="A50" s="79"/>
      <c r="B50" s="79"/>
      <c r="C50" s="43" t="s">
        <v>62</v>
      </c>
      <c r="D50" s="47" t="s">
        <v>127</v>
      </c>
      <c r="E50" s="99" t="s">
        <v>64</v>
      </c>
      <c r="F50" s="99"/>
      <c r="G50" s="99"/>
      <c r="H50" s="99"/>
      <c r="I50" s="99" t="s">
        <v>65</v>
      </c>
      <c r="J50" s="99"/>
      <c r="K50" s="99"/>
      <c r="L50" s="99"/>
      <c r="M50" s="99" t="s">
        <v>66</v>
      </c>
      <c r="N50" s="99"/>
      <c r="O50" s="99"/>
      <c r="P50" s="99"/>
      <c r="Q50" s="99" t="s">
        <v>67</v>
      </c>
      <c r="R50" s="99"/>
      <c r="S50" s="99"/>
      <c r="T50" s="99"/>
      <c r="U50" s="99" t="s">
        <v>68</v>
      </c>
      <c r="V50" s="99"/>
      <c r="W50" s="99"/>
      <c r="X50" s="99"/>
      <c r="Y50" s="99" t="s">
        <v>69</v>
      </c>
      <c r="Z50" s="99"/>
      <c r="AA50" s="99"/>
      <c r="AB50" s="99"/>
      <c r="AC50" s="99" t="s">
        <v>70</v>
      </c>
      <c r="AD50" s="99"/>
      <c r="AE50" s="99"/>
      <c r="AF50" s="99"/>
      <c r="AG50" s="99" t="s">
        <v>71</v>
      </c>
      <c r="AH50" s="99"/>
      <c r="AI50" s="99"/>
      <c r="AJ50" s="99"/>
      <c r="AK50" s="99" t="s">
        <v>86</v>
      </c>
      <c r="AL50" s="99"/>
      <c r="AM50" s="99"/>
      <c r="AN50" s="99"/>
      <c r="AO50" s="99" t="s">
        <v>73</v>
      </c>
      <c r="AP50" s="99"/>
      <c r="AQ50" s="99"/>
      <c r="AR50" s="99"/>
      <c r="AS50" s="99" t="s">
        <v>74</v>
      </c>
      <c r="AT50" s="99"/>
      <c r="AU50" s="99"/>
      <c r="AV50" s="99"/>
      <c r="AW50" s="99" t="s">
        <v>75</v>
      </c>
      <c r="AX50" s="99"/>
      <c r="AY50" s="99"/>
      <c r="AZ50" s="99"/>
      <c r="BA50" s="91"/>
      <c r="BB50" s="86"/>
      <c r="BC50" s="9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</row>
    <row r="51" spans="1:256" customFormat="1" ht="71.25" customHeight="1">
      <c r="A51" s="79"/>
      <c r="B51" s="79"/>
      <c r="C51" s="43" t="s">
        <v>76</v>
      </c>
      <c r="D51" s="43" t="s">
        <v>128</v>
      </c>
      <c r="E51" s="46" t="s">
        <v>25</v>
      </c>
      <c r="F51" s="46" t="s">
        <v>26</v>
      </c>
      <c r="G51" s="46" t="s">
        <v>27</v>
      </c>
      <c r="H51" s="46" t="s">
        <v>59</v>
      </c>
      <c r="I51" s="46" t="s">
        <v>25</v>
      </c>
      <c r="J51" s="46" t="s">
        <v>26</v>
      </c>
      <c r="K51" s="46" t="s">
        <v>27</v>
      </c>
      <c r="L51" s="46" t="s">
        <v>59</v>
      </c>
      <c r="M51" s="46" t="s">
        <v>25</v>
      </c>
      <c r="N51" s="46" t="s">
        <v>26</v>
      </c>
      <c r="O51" s="46" t="s">
        <v>27</v>
      </c>
      <c r="P51" s="46" t="s">
        <v>59</v>
      </c>
      <c r="Q51" s="46" t="s">
        <v>25</v>
      </c>
      <c r="R51" s="46" t="s">
        <v>26</v>
      </c>
      <c r="S51" s="46" t="s">
        <v>27</v>
      </c>
      <c r="T51" s="46" t="s">
        <v>59</v>
      </c>
      <c r="U51" s="46" t="s">
        <v>25</v>
      </c>
      <c r="V51" s="46" t="s">
        <v>26</v>
      </c>
      <c r="W51" s="46" t="s">
        <v>27</v>
      </c>
      <c r="X51" s="46" t="s">
        <v>59</v>
      </c>
      <c r="Y51" s="46" t="s">
        <v>25</v>
      </c>
      <c r="Z51" s="46" t="s">
        <v>26</v>
      </c>
      <c r="AA51" s="46" t="s">
        <v>27</v>
      </c>
      <c r="AB51" s="46" t="s">
        <v>59</v>
      </c>
      <c r="AC51" s="46" t="s">
        <v>25</v>
      </c>
      <c r="AD51" s="46" t="s">
        <v>26</v>
      </c>
      <c r="AE51" s="46" t="s">
        <v>27</v>
      </c>
      <c r="AF51" s="46" t="s">
        <v>59</v>
      </c>
      <c r="AG51" s="46" t="s">
        <v>25</v>
      </c>
      <c r="AH51" s="46" t="s">
        <v>26</v>
      </c>
      <c r="AI51" s="46" t="s">
        <v>27</v>
      </c>
      <c r="AJ51" s="46" t="s">
        <v>59</v>
      </c>
      <c r="AK51" s="46" t="s">
        <v>25</v>
      </c>
      <c r="AL51" s="46" t="s">
        <v>26</v>
      </c>
      <c r="AM51" s="46" t="s">
        <v>27</v>
      </c>
      <c r="AN51" s="46" t="s">
        <v>59</v>
      </c>
      <c r="AO51" s="46" t="s">
        <v>25</v>
      </c>
      <c r="AP51" s="46" t="s">
        <v>26</v>
      </c>
      <c r="AQ51" s="46" t="s">
        <v>27</v>
      </c>
      <c r="AR51" s="46" t="s">
        <v>59</v>
      </c>
      <c r="AS51" s="46" t="s">
        <v>25</v>
      </c>
      <c r="AT51" s="46" t="s">
        <v>26</v>
      </c>
      <c r="AU51" s="46" t="s">
        <v>27</v>
      </c>
      <c r="AV51" s="46" t="s">
        <v>59</v>
      </c>
      <c r="AW51" s="46" t="s">
        <v>25</v>
      </c>
      <c r="AX51" s="46" t="s">
        <v>26</v>
      </c>
      <c r="AY51" s="46" t="s">
        <v>27</v>
      </c>
      <c r="AZ51" s="46" t="s">
        <v>59</v>
      </c>
      <c r="BA51" s="91"/>
      <c r="BB51" s="86"/>
      <c r="BC51" s="9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</row>
    <row r="52" spans="1:256" customFormat="1" ht="71.25" customHeight="1">
      <c r="A52" s="79"/>
      <c r="B52" s="79"/>
      <c r="C52" s="43" t="s">
        <v>88</v>
      </c>
      <c r="D52" s="43" t="s">
        <v>129</v>
      </c>
      <c r="E52" s="41">
        <v>0.01</v>
      </c>
      <c r="F52" s="42">
        <v>7.4999999999999997E-2</v>
      </c>
      <c r="G52" s="42">
        <v>1.6</v>
      </c>
      <c r="H52" s="42">
        <f>SUM(E52:G52)</f>
        <v>1.6850000000000001</v>
      </c>
      <c r="I52" s="41">
        <v>0.01</v>
      </c>
      <c r="J52" s="42">
        <v>7.4999999999999997E-2</v>
      </c>
      <c r="K52" s="41">
        <v>1.6</v>
      </c>
      <c r="L52" s="42">
        <v>1.6850000000000001</v>
      </c>
      <c r="M52" s="41">
        <v>0.01</v>
      </c>
      <c r="N52" s="42">
        <v>7.4999999999999997E-2</v>
      </c>
      <c r="O52" s="42">
        <v>1.64</v>
      </c>
      <c r="P52" s="42">
        <f>SUM(M52:O52)</f>
        <v>1.7249999999999999</v>
      </c>
      <c r="Q52" s="42">
        <v>0.01</v>
      </c>
      <c r="R52" s="42">
        <v>7.4999999999999997E-2</v>
      </c>
      <c r="S52" s="42">
        <v>1.7</v>
      </c>
      <c r="T52" s="42">
        <f>SUM(Q52:S52)</f>
        <v>1.7849999999999999</v>
      </c>
      <c r="U52" s="42">
        <v>0.01</v>
      </c>
      <c r="V52" s="42">
        <v>7.4999999999999997E-2</v>
      </c>
      <c r="W52" s="42">
        <v>1.7</v>
      </c>
      <c r="X52" s="42">
        <f>SUM(U52:W52)</f>
        <v>1.7849999999999999</v>
      </c>
      <c r="Y52" s="42"/>
      <c r="Z52" s="42"/>
      <c r="AA52" s="42">
        <f>7733.33/10000</f>
        <v>0.77333300000000005</v>
      </c>
      <c r="AB52" s="42">
        <f>SUM(Y52:AA52)</f>
        <v>0.77333300000000005</v>
      </c>
      <c r="AC52" s="42"/>
      <c r="AD52" s="42"/>
      <c r="AE52" s="42">
        <f>6858.07/10000</f>
        <v>0.68580699999999994</v>
      </c>
      <c r="AF52" s="42">
        <f>SUM(AE52)</f>
        <v>0.68580699999999994</v>
      </c>
      <c r="AG52" s="42"/>
      <c r="AH52" s="42"/>
      <c r="AI52" s="42">
        <f>7148.4/10000</f>
        <v>0.71483999999999992</v>
      </c>
      <c r="AJ52" s="42">
        <f>SUM(AI52)</f>
        <v>0.71483999999999992</v>
      </c>
      <c r="AK52" s="42"/>
      <c r="AL52" s="42"/>
      <c r="AM52" s="42">
        <f>7393.35/10000</f>
        <v>0.73933500000000008</v>
      </c>
      <c r="AN52" s="42">
        <f>SUM(AM52)</f>
        <v>0.73933500000000008</v>
      </c>
      <c r="AO52" s="42"/>
      <c r="AP52" s="42"/>
      <c r="AQ52" s="42">
        <f>8348.4/10000</f>
        <v>0.83483999999999992</v>
      </c>
      <c r="AR52" s="42">
        <f>SUM(AQ52)</f>
        <v>0.83483999999999992</v>
      </c>
      <c r="AS52" s="42"/>
      <c r="AT52" s="42"/>
      <c r="AU52" s="42">
        <f>8153.33/10000</f>
        <v>0.81533299999999997</v>
      </c>
      <c r="AV52" s="42">
        <f>SUM(AU52)</f>
        <v>0.81533299999999997</v>
      </c>
      <c r="AW52" s="42"/>
      <c r="AX52" s="42"/>
      <c r="AY52" s="42">
        <f>8012.93/10000</f>
        <v>0.80129300000000003</v>
      </c>
      <c r="AZ52" s="42">
        <f>SUM(AY52)</f>
        <v>0.80129300000000003</v>
      </c>
      <c r="BA52" s="92"/>
      <c r="BB52" s="86"/>
      <c r="BC52" s="9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  <c r="IT52" s="44"/>
      <c r="IU52" s="44"/>
      <c r="IV52" s="44"/>
    </row>
    <row r="53" spans="1:256" customFormat="1" ht="63.75" customHeight="1">
      <c r="A53" s="43" t="s">
        <v>1</v>
      </c>
      <c r="B53" s="43" t="s">
        <v>2</v>
      </c>
      <c r="C53" s="43" t="s">
        <v>16</v>
      </c>
      <c r="D53" s="43" t="s">
        <v>131</v>
      </c>
      <c r="E53" s="79" t="s">
        <v>45</v>
      </c>
      <c r="F53" s="79"/>
      <c r="G53" s="79"/>
      <c r="H53" s="79"/>
      <c r="I53" s="79" t="s">
        <v>46</v>
      </c>
      <c r="J53" s="79"/>
      <c r="K53" s="79"/>
      <c r="L53" s="79"/>
      <c r="M53" s="79" t="s">
        <v>47</v>
      </c>
      <c r="N53" s="79"/>
      <c r="O53" s="79"/>
      <c r="P53" s="79"/>
      <c r="Q53" s="79" t="s">
        <v>48</v>
      </c>
      <c r="R53" s="79"/>
      <c r="S53" s="79"/>
      <c r="T53" s="79"/>
      <c r="U53" s="79" t="s">
        <v>49</v>
      </c>
      <c r="V53" s="79"/>
      <c r="W53" s="79"/>
      <c r="X53" s="79"/>
      <c r="Y53" s="79" t="s">
        <v>50</v>
      </c>
      <c r="Z53" s="79"/>
      <c r="AA53" s="79"/>
      <c r="AB53" s="79"/>
      <c r="AC53" s="79" t="s">
        <v>51</v>
      </c>
      <c r="AD53" s="79"/>
      <c r="AE53" s="79"/>
      <c r="AF53" s="79"/>
      <c r="AG53" s="93" t="s">
        <v>52</v>
      </c>
      <c r="AH53" s="93"/>
      <c r="AI53" s="93"/>
      <c r="AJ53" s="93"/>
      <c r="AK53" s="79" t="s">
        <v>53</v>
      </c>
      <c r="AL53" s="79"/>
      <c r="AM53" s="79"/>
      <c r="AN53" s="79"/>
      <c r="AO53" s="79" t="s">
        <v>54</v>
      </c>
      <c r="AP53" s="79"/>
      <c r="AQ53" s="79"/>
      <c r="AR53" s="79"/>
      <c r="AS53" s="79" t="s">
        <v>55</v>
      </c>
      <c r="AT53" s="79"/>
      <c r="AU53" s="79"/>
      <c r="AV53" s="79"/>
      <c r="AW53" s="79" t="s">
        <v>56</v>
      </c>
      <c r="AX53" s="79"/>
      <c r="AY53" s="79"/>
      <c r="AZ53" s="79"/>
      <c r="BA53" s="43" t="s">
        <v>57</v>
      </c>
      <c r="BB53" s="43" t="s">
        <v>23</v>
      </c>
      <c r="BC53" s="43" t="s">
        <v>24</v>
      </c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  <c r="IT53" s="44"/>
      <c r="IU53" s="44"/>
      <c r="IV53" s="44"/>
    </row>
    <row r="54" spans="1:256" customFormat="1" ht="64.5" customHeight="1">
      <c r="A54" s="79" t="s">
        <v>137</v>
      </c>
      <c r="B54" s="79" t="s">
        <v>91</v>
      </c>
      <c r="C54" s="43" t="s">
        <v>17</v>
      </c>
      <c r="D54" s="45" t="s">
        <v>132</v>
      </c>
      <c r="E54" s="46" t="s">
        <v>25</v>
      </c>
      <c r="F54" s="46" t="s">
        <v>26</v>
      </c>
      <c r="G54" s="46" t="s">
        <v>27</v>
      </c>
      <c r="H54" s="46" t="s">
        <v>59</v>
      </c>
      <c r="I54" s="46" t="s">
        <v>25</v>
      </c>
      <c r="J54" s="46" t="s">
        <v>26</v>
      </c>
      <c r="K54" s="46" t="s">
        <v>27</v>
      </c>
      <c r="L54" s="46" t="s">
        <v>59</v>
      </c>
      <c r="M54" s="46" t="s">
        <v>25</v>
      </c>
      <c r="N54" s="46" t="s">
        <v>26</v>
      </c>
      <c r="O54" s="46" t="s">
        <v>27</v>
      </c>
      <c r="P54" s="46" t="s">
        <v>59</v>
      </c>
      <c r="Q54" s="46" t="s">
        <v>25</v>
      </c>
      <c r="R54" s="46" t="s">
        <v>26</v>
      </c>
      <c r="S54" s="46" t="s">
        <v>27</v>
      </c>
      <c r="T54" s="46" t="s">
        <v>59</v>
      </c>
      <c r="U54" s="46" t="s">
        <v>25</v>
      </c>
      <c r="V54" s="46" t="s">
        <v>26</v>
      </c>
      <c r="W54" s="46" t="s">
        <v>27</v>
      </c>
      <c r="X54" s="46" t="s">
        <v>59</v>
      </c>
      <c r="Y54" s="46" t="s">
        <v>25</v>
      </c>
      <c r="Z54" s="46" t="s">
        <v>26</v>
      </c>
      <c r="AA54" s="46" t="s">
        <v>27</v>
      </c>
      <c r="AB54" s="46" t="s">
        <v>59</v>
      </c>
      <c r="AC54" s="46" t="s">
        <v>25</v>
      </c>
      <c r="AD54" s="46" t="s">
        <v>26</v>
      </c>
      <c r="AE54" s="46" t="s">
        <v>27</v>
      </c>
      <c r="AF54" s="46" t="s">
        <v>59</v>
      </c>
      <c r="AG54" s="46" t="s">
        <v>25</v>
      </c>
      <c r="AH54" s="46" t="s">
        <v>26</v>
      </c>
      <c r="AI54" s="46" t="s">
        <v>27</v>
      </c>
      <c r="AJ54" s="46" t="s">
        <v>59</v>
      </c>
      <c r="AK54" s="46" t="s">
        <v>25</v>
      </c>
      <c r="AL54" s="46" t="s">
        <v>26</v>
      </c>
      <c r="AM54" s="46" t="s">
        <v>27</v>
      </c>
      <c r="AN54" s="46" t="s">
        <v>59</v>
      </c>
      <c r="AO54" s="46" t="s">
        <v>25</v>
      </c>
      <c r="AP54" s="46" t="s">
        <v>26</v>
      </c>
      <c r="AQ54" s="46" t="s">
        <v>27</v>
      </c>
      <c r="AR54" s="46" t="s">
        <v>59</v>
      </c>
      <c r="AS54" s="46" t="s">
        <v>25</v>
      </c>
      <c r="AT54" s="46" t="s">
        <v>26</v>
      </c>
      <c r="AU54" s="46" t="s">
        <v>27</v>
      </c>
      <c r="AV54" s="46" t="s">
        <v>59</v>
      </c>
      <c r="AW54" s="46" t="s">
        <v>25</v>
      </c>
      <c r="AX54" s="46" t="s">
        <v>26</v>
      </c>
      <c r="AY54" s="46" t="s">
        <v>27</v>
      </c>
      <c r="AZ54" s="46" t="s">
        <v>59</v>
      </c>
      <c r="BA54" s="90">
        <f>H55+L55+P55+T55+X55+AB55+AF55+AJ55+AN55+AR55+AV55+AZ55</f>
        <v>399</v>
      </c>
      <c r="BB54" s="110">
        <f>(H59+L59+P59+T59+X59+AB59+AF59+AJ59+AN59+AR59+AV59+AZ59)</f>
        <v>4.561769</v>
      </c>
      <c r="BC54" s="126">
        <f>BB54/2</f>
        <v>2.2808845</v>
      </c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44"/>
      <c r="HJ54" s="44"/>
      <c r="HK54" s="44"/>
      <c r="HL54" s="44"/>
      <c r="HM54" s="44"/>
      <c r="HN54" s="44"/>
      <c r="HO54" s="44"/>
      <c r="HP54" s="44"/>
      <c r="HQ54" s="44"/>
      <c r="HR54" s="44"/>
      <c r="HS54" s="44"/>
      <c r="HT54" s="44"/>
      <c r="HU54" s="44"/>
      <c r="HV54" s="44"/>
      <c r="HW54" s="44"/>
      <c r="HX54" s="44"/>
      <c r="HY54" s="44"/>
      <c r="HZ54" s="44"/>
      <c r="IA54" s="44"/>
      <c r="IB54" s="44"/>
      <c r="IC54" s="44"/>
      <c r="ID54" s="44"/>
      <c r="IE54" s="44"/>
      <c r="IF54" s="44"/>
      <c r="IG54" s="44"/>
      <c r="IH54" s="44"/>
      <c r="II54" s="44"/>
      <c r="IJ54" s="44"/>
      <c r="IK54" s="44"/>
      <c r="IL54" s="44"/>
      <c r="IM54" s="44"/>
      <c r="IN54" s="44"/>
      <c r="IO54" s="44"/>
      <c r="IP54" s="44"/>
      <c r="IQ54" s="44"/>
      <c r="IR54" s="44"/>
      <c r="IS54" s="44"/>
      <c r="IT54" s="44"/>
      <c r="IU54" s="44"/>
      <c r="IV54" s="44"/>
    </row>
    <row r="55" spans="1:256" customFormat="1" ht="36.75" customHeight="1">
      <c r="A55" s="79"/>
      <c r="B55" s="79"/>
      <c r="C55" s="95" t="s">
        <v>18</v>
      </c>
      <c r="D55" s="97" t="s">
        <v>133</v>
      </c>
      <c r="E55" s="124">
        <v>25</v>
      </c>
      <c r="F55" s="124">
        <v>4</v>
      </c>
      <c r="G55" s="124">
        <v>4</v>
      </c>
      <c r="H55" s="124">
        <v>33</v>
      </c>
      <c r="I55" s="124">
        <v>25</v>
      </c>
      <c r="J55" s="124">
        <v>4</v>
      </c>
      <c r="K55" s="124">
        <v>4</v>
      </c>
      <c r="L55" s="124">
        <v>33</v>
      </c>
      <c r="M55" s="124">
        <v>25</v>
      </c>
      <c r="N55" s="124">
        <v>4</v>
      </c>
      <c r="O55" s="124">
        <v>4</v>
      </c>
      <c r="P55" s="124">
        <v>33</v>
      </c>
      <c r="Q55" s="124">
        <v>25</v>
      </c>
      <c r="R55" s="124">
        <v>4</v>
      </c>
      <c r="S55" s="124">
        <v>4</v>
      </c>
      <c r="T55" s="124">
        <v>33</v>
      </c>
      <c r="U55" s="124">
        <v>25</v>
      </c>
      <c r="V55" s="124">
        <v>4</v>
      </c>
      <c r="W55" s="124">
        <v>4</v>
      </c>
      <c r="X55" s="124">
        <v>33</v>
      </c>
      <c r="Y55" s="124">
        <v>7</v>
      </c>
      <c r="Z55" s="124">
        <v>8</v>
      </c>
      <c r="AA55" s="124">
        <v>3</v>
      </c>
      <c r="AB55" s="124">
        <v>18</v>
      </c>
      <c r="AC55" s="124">
        <v>21</v>
      </c>
      <c r="AD55" s="124">
        <v>13</v>
      </c>
      <c r="AE55" s="124">
        <v>4</v>
      </c>
      <c r="AF55" s="124">
        <v>38</v>
      </c>
      <c r="AG55" s="124">
        <v>21</v>
      </c>
      <c r="AH55" s="124">
        <v>12</v>
      </c>
      <c r="AI55" s="124">
        <v>4</v>
      </c>
      <c r="AJ55" s="124">
        <v>37</v>
      </c>
      <c r="AK55" s="124">
        <v>18</v>
      </c>
      <c r="AL55" s="124">
        <v>12</v>
      </c>
      <c r="AM55" s="124">
        <v>3</v>
      </c>
      <c r="AN55" s="124">
        <v>33</v>
      </c>
      <c r="AO55" s="124">
        <v>16</v>
      </c>
      <c r="AP55" s="124">
        <v>13</v>
      </c>
      <c r="AQ55" s="124">
        <v>4</v>
      </c>
      <c r="AR55" s="124">
        <v>33</v>
      </c>
      <c r="AS55" s="124">
        <v>18</v>
      </c>
      <c r="AT55" s="124">
        <v>12</v>
      </c>
      <c r="AU55" s="124">
        <v>4</v>
      </c>
      <c r="AV55" s="124">
        <v>34</v>
      </c>
      <c r="AW55" s="124">
        <v>19</v>
      </c>
      <c r="AX55" s="124">
        <v>18</v>
      </c>
      <c r="AY55" s="124">
        <v>4</v>
      </c>
      <c r="AZ55" s="124">
        <v>41</v>
      </c>
      <c r="BA55" s="91"/>
      <c r="BB55" s="111"/>
      <c r="BC55" s="127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  <c r="GX55" s="44"/>
      <c r="GY55" s="44"/>
      <c r="GZ55" s="44"/>
      <c r="HA55" s="44"/>
      <c r="HB55" s="44"/>
      <c r="HC55" s="44"/>
      <c r="HD55" s="44"/>
      <c r="HE55" s="44"/>
      <c r="HF55" s="44"/>
      <c r="HG55" s="44"/>
      <c r="HH55" s="44"/>
      <c r="HI55" s="44"/>
      <c r="HJ55" s="44"/>
      <c r="HK55" s="44"/>
      <c r="HL55" s="44"/>
      <c r="HM55" s="44"/>
      <c r="HN55" s="44"/>
      <c r="HO55" s="44"/>
      <c r="HP55" s="44"/>
      <c r="HQ55" s="44"/>
      <c r="HR55" s="44"/>
      <c r="HS55" s="44"/>
      <c r="HT55" s="44"/>
      <c r="HU55" s="44"/>
      <c r="HV55" s="44"/>
      <c r="HW55" s="44"/>
      <c r="HX55" s="44"/>
      <c r="HY55" s="44"/>
      <c r="HZ55" s="44"/>
      <c r="IA55" s="44"/>
      <c r="IB55" s="44"/>
      <c r="IC55" s="44"/>
      <c r="ID55" s="44"/>
      <c r="IE55" s="44"/>
      <c r="IF55" s="44"/>
      <c r="IG55" s="44"/>
      <c r="IH55" s="44"/>
      <c r="II55" s="44"/>
      <c r="IJ55" s="44"/>
      <c r="IK55" s="44"/>
      <c r="IL55" s="44"/>
      <c r="IM55" s="44"/>
      <c r="IN55" s="44"/>
      <c r="IO55" s="44"/>
      <c r="IP55" s="44"/>
      <c r="IQ55" s="44"/>
      <c r="IR55" s="44"/>
      <c r="IS55" s="44"/>
      <c r="IT55" s="44"/>
      <c r="IU55" s="44"/>
      <c r="IV55" s="44"/>
    </row>
    <row r="56" spans="1:256" customFormat="1" ht="33" customHeight="1">
      <c r="A56" s="79"/>
      <c r="B56" s="79"/>
      <c r="C56" s="96"/>
      <c r="D56" s="98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91"/>
      <c r="BB56" s="111"/>
      <c r="BC56" s="127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4"/>
      <c r="IQ56" s="44"/>
      <c r="IR56" s="44"/>
      <c r="IS56" s="44"/>
      <c r="IT56" s="44"/>
      <c r="IU56" s="44"/>
      <c r="IV56" s="44"/>
    </row>
    <row r="57" spans="1:256" customFormat="1" ht="50.25" customHeight="1">
      <c r="A57" s="79"/>
      <c r="B57" s="79"/>
      <c r="C57" s="43" t="s">
        <v>62</v>
      </c>
      <c r="D57" s="47" t="s">
        <v>134</v>
      </c>
      <c r="E57" s="99" t="s">
        <v>64</v>
      </c>
      <c r="F57" s="99"/>
      <c r="G57" s="99"/>
      <c r="H57" s="99"/>
      <c r="I57" s="99" t="s">
        <v>65</v>
      </c>
      <c r="J57" s="99"/>
      <c r="K57" s="99"/>
      <c r="L57" s="99"/>
      <c r="M57" s="99" t="s">
        <v>66</v>
      </c>
      <c r="N57" s="99"/>
      <c r="O57" s="99"/>
      <c r="P57" s="99"/>
      <c r="Q57" s="99" t="s">
        <v>67</v>
      </c>
      <c r="R57" s="99"/>
      <c r="S57" s="99"/>
      <c r="T57" s="99"/>
      <c r="U57" s="99" t="s">
        <v>68</v>
      </c>
      <c r="V57" s="99"/>
      <c r="W57" s="99"/>
      <c r="X57" s="99"/>
      <c r="Y57" s="99" t="s">
        <v>69</v>
      </c>
      <c r="Z57" s="99"/>
      <c r="AA57" s="99"/>
      <c r="AB57" s="99"/>
      <c r="AC57" s="99" t="s">
        <v>70</v>
      </c>
      <c r="AD57" s="99"/>
      <c r="AE57" s="99"/>
      <c r="AF57" s="99"/>
      <c r="AG57" s="99" t="s">
        <v>71</v>
      </c>
      <c r="AH57" s="99"/>
      <c r="AI57" s="99"/>
      <c r="AJ57" s="99"/>
      <c r="AK57" s="99" t="s">
        <v>86</v>
      </c>
      <c r="AL57" s="99"/>
      <c r="AM57" s="99"/>
      <c r="AN57" s="99"/>
      <c r="AO57" s="99" t="s">
        <v>73</v>
      </c>
      <c r="AP57" s="99"/>
      <c r="AQ57" s="99"/>
      <c r="AR57" s="99"/>
      <c r="AS57" s="99" t="s">
        <v>74</v>
      </c>
      <c r="AT57" s="99"/>
      <c r="AU57" s="99"/>
      <c r="AV57" s="99"/>
      <c r="AW57" s="99" t="s">
        <v>75</v>
      </c>
      <c r="AX57" s="99"/>
      <c r="AY57" s="99"/>
      <c r="AZ57" s="99"/>
      <c r="BA57" s="91"/>
      <c r="BB57" s="111"/>
      <c r="BC57" s="127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44"/>
      <c r="HJ57" s="44"/>
      <c r="HK57" s="44"/>
      <c r="HL57" s="44"/>
      <c r="HM57" s="44"/>
      <c r="HN57" s="44"/>
      <c r="HO57" s="44"/>
      <c r="HP57" s="44"/>
      <c r="HQ57" s="44"/>
      <c r="HR57" s="44"/>
      <c r="HS57" s="44"/>
      <c r="HT57" s="44"/>
      <c r="HU57" s="44"/>
      <c r="HV57" s="44"/>
      <c r="HW57" s="44"/>
      <c r="HX57" s="44"/>
      <c r="HY57" s="44"/>
      <c r="HZ57" s="44"/>
      <c r="IA57" s="44"/>
      <c r="IB57" s="44"/>
      <c r="IC57" s="44"/>
      <c r="ID57" s="44"/>
      <c r="IE57" s="44"/>
      <c r="IF57" s="44"/>
      <c r="IG57" s="44"/>
      <c r="IH57" s="44"/>
      <c r="II57" s="44"/>
      <c r="IJ57" s="44"/>
      <c r="IK57" s="44"/>
      <c r="IL57" s="44"/>
      <c r="IM57" s="44"/>
      <c r="IN57" s="44"/>
      <c r="IO57" s="44"/>
      <c r="IP57" s="44"/>
      <c r="IQ57" s="44"/>
      <c r="IR57" s="44"/>
      <c r="IS57" s="44"/>
      <c r="IT57" s="44"/>
      <c r="IU57" s="44"/>
      <c r="IV57" s="44"/>
    </row>
    <row r="58" spans="1:256" customFormat="1" ht="63" customHeight="1">
      <c r="A58" s="79"/>
      <c r="B58" s="79"/>
      <c r="C58" s="43" t="s">
        <v>76</v>
      </c>
      <c r="D58" s="43" t="s">
        <v>135</v>
      </c>
      <c r="E58" s="46" t="s">
        <v>25</v>
      </c>
      <c r="F58" s="46" t="s">
        <v>26</v>
      </c>
      <c r="G58" s="46" t="s">
        <v>27</v>
      </c>
      <c r="H58" s="46" t="s">
        <v>59</v>
      </c>
      <c r="I58" s="46" t="s">
        <v>25</v>
      </c>
      <c r="J58" s="46" t="s">
        <v>26</v>
      </c>
      <c r="K58" s="46" t="s">
        <v>27</v>
      </c>
      <c r="L58" s="46" t="s">
        <v>59</v>
      </c>
      <c r="M58" s="46" t="s">
        <v>25</v>
      </c>
      <c r="N58" s="46" t="s">
        <v>26</v>
      </c>
      <c r="O58" s="46" t="s">
        <v>27</v>
      </c>
      <c r="P58" s="46" t="s">
        <v>59</v>
      </c>
      <c r="Q58" s="46" t="s">
        <v>25</v>
      </c>
      <c r="R58" s="46" t="s">
        <v>26</v>
      </c>
      <c r="S58" s="46" t="s">
        <v>27</v>
      </c>
      <c r="T58" s="46" t="s">
        <v>59</v>
      </c>
      <c r="U58" s="46" t="s">
        <v>25</v>
      </c>
      <c r="V58" s="46" t="s">
        <v>26</v>
      </c>
      <c r="W58" s="46" t="s">
        <v>27</v>
      </c>
      <c r="X58" s="46" t="s">
        <v>59</v>
      </c>
      <c r="Y58" s="46" t="s">
        <v>25</v>
      </c>
      <c r="Z58" s="46" t="s">
        <v>26</v>
      </c>
      <c r="AA58" s="46" t="s">
        <v>27</v>
      </c>
      <c r="AB58" s="46" t="s">
        <v>59</v>
      </c>
      <c r="AC58" s="46" t="s">
        <v>25</v>
      </c>
      <c r="AD58" s="46" t="s">
        <v>26</v>
      </c>
      <c r="AE58" s="46" t="s">
        <v>27</v>
      </c>
      <c r="AF58" s="46" t="s">
        <v>59</v>
      </c>
      <c r="AG58" s="46" t="s">
        <v>25</v>
      </c>
      <c r="AH58" s="46" t="s">
        <v>26</v>
      </c>
      <c r="AI58" s="46" t="s">
        <v>27</v>
      </c>
      <c r="AJ58" s="46" t="s">
        <v>59</v>
      </c>
      <c r="AK58" s="46" t="s">
        <v>25</v>
      </c>
      <c r="AL58" s="46" t="s">
        <v>26</v>
      </c>
      <c r="AM58" s="46" t="s">
        <v>27</v>
      </c>
      <c r="AN58" s="46" t="s">
        <v>59</v>
      </c>
      <c r="AO58" s="46" t="s">
        <v>25</v>
      </c>
      <c r="AP58" s="46" t="s">
        <v>26</v>
      </c>
      <c r="AQ58" s="46" t="s">
        <v>27</v>
      </c>
      <c r="AR58" s="46" t="s">
        <v>59</v>
      </c>
      <c r="AS58" s="46" t="s">
        <v>25</v>
      </c>
      <c r="AT58" s="46" t="s">
        <v>26</v>
      </c>
      <c r="AU58" s="46" t="s">
        <v>27</v>
      </c>
      <c r="AV58" s="46" t="s">
        <v>59</v>
      </c>
      <c r="AW58" s="46" t="s">
        <v>25</v>
      </c>
      <c r="AX58" s="46" t="s">
        <v>26</v>
      </c>
      <c r="AY58" s="46" t="s">
        <v>27</v>
      </c>
      <c r="AZ58" s="46" t="s">
        <v>59</v>
      </c>
      <c r="BA58" s="91"/>
      <c r="BB58" s="111"/>
      <c r="BC58" s="127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  <c r="IU58" s="44"/>
      <c r="IV58" s="44"/>
    </row>
    <row r="59" spans="1:256" customFormat="1" ht="64.5" customHeight="1">
      <c r="A59" s="79"/>
      <c r="B59" s="79"/>
      <c r="C59" s="43" t="s">
        <v>88</v>
      </c>
      <c r="D59" s="43" t="s">
        <v>136</v>
      </c>
      <c r="E59" s="42">
        <v>0.25</v>
      </c>
      <c r="F59" s="42">
        <v>0.06</v>
      </c>
      <c r="G59" s="42">
        <v>0.08</v>
      </c>
      <c r="H59" s="42">
        <f>E59+F59+G59</f>
        <v>0.39</v>
      </c>
      <c r="I59" s="42">
        <v>0.25</v>
      </c>
      <c r="J59" s="42">
        <v>0.06</v>
      </c>
      <c r="K59" s="42">
        <v>0.08</v>
      </c>
      <c r="L59" s="42">
        <f>SUM(I59:K59)</f>
        <v>0.39</v>
      </c>
      <c r="M59" s="42">
        <v>0.25</v>
      </c>
      <c r="N59" s="42">
        <v>0.06</v>
      </c>
      <c r="O59" s="42">
        <v>0.08</v>
      </c>
      <c r="P59" s="42">
        <f>SUM(M59:O59)</f>
        <v>0.39</v>
      </c>
      <c r="Q59" s="42">
        <v>0.25</v>
      </c>
      <c r="R59" s="42">
        <v>0.06</v>
      </c>
      <c r="S59" s="42">
        <v>0.08</v>
      </c>
      <c r="T59" s="42">
        <f>SUM(Q59:S59)</f>
        <v>0.39</v>
      </c>
      <c r="U59" s="42">
        <v>0.25</v>
      </c>
      <c r="V59" s="42">
        <v>0.06</v>
      </c>
      <c r="W59" s="42">
        <v>0.08</v>
      </c>
      <c r="X59" s="42">
        <f>SUM(U59:W59)</f>
        <v>0.39</v>
      </c>
      <c r="Y59" s="42">
        <f>106.65/10000</f>
        <v>1.0665000000000001E-2</v>
      </c>
      <c r="Z59" s="42">
        <f>160/10000</f>
        <v>1.6E-2</v>
      </c>
      <c r="AA59" s="42">
        <f>106.67/10000</f>
        <v>1.0666999999999999E-2</v>
      </c>
      <c r="AB59" s="42">
        <f>Y59+Z59+AA59</f>
        <v>3.7332000000000004E-2</v>
      </c>
      <c r="AC59" s="42">
        <f>1893.54/10000</f>
        <v>0.18935399999999999</v>
      </c>
      <c r="AD59" s="42">
        <f>1558.06/10000</f>
        <v>0.155806</v>
      </c>
      <c r="AE59" s="42">
        <v>0.08</v>
      </c>
      <c r="AF59" s="42">
        <f>AC59+AD59+AE59</f>
        <v>0.42516000000000004</v>
      </c>
      <c r="AG59" s="42">
        <f>1887.08/10000</f>
        <v>0.18870799999999999</v>
      </c>
      <c r="AH59" s="42">
        <f>1785.48/10000</f>
        <v>0.17854800000000001</v>
      </c>
      <c r="AI59" s="42">
        <f>670.97/10000</f>
        <v>6.7097000000000004E-2</v>
      </c>
      <c r="AJ59" s="42">
        <f>AG59+AH59+AI59</f>
        <v>0.43435300000000004</v>
      </c>
      <c r="AK59" s="42">
        <f>1683.34/10000</f>
        <v>0.16833399999999998</v>
      </c>
      <c r="AL59" s="42">
        <f>1770/10000</f>
        <v>0.17699999999999999</v>
      </c>
      <c r="AM59" s="42">
        <v>0.06</v>
      </c>
      <c r="AN59" s="42">
        <f>AK59+AL59+AM59</f>
        <v>0.40533399999999997</v>
      </c>
      <c r="AO59" s="42">
        <f>1619.35/10000</f>
        <v>0.161935</v>
      </c>
      <c r="AP59" s="42">
        <f>1582.26/10000</f>
        <v>0.15822600000000001</v>
      </c>
      <c r="AQ59" s="42">
        <f>716.13/10000</f>
        <v>7.1612999999999996E-2</v>
      </c>
      <c r="AR59" s="42">
        <f>AO59+AP59+AQ59</f>
        <v>0.39177400000000001</v>
      </c>
      <c r="AS59" s="42">
        <f>1673.34/10000</f>
        <v>0.16733399999999998</v>
      </c>
      <c r="AT59" s="42">
        <f>1800/10000</f>
        <v>0.18</v>
      </c>
      <c r="AU59" s="42">
        <f>800/10000</f>
        <v>0.08</v>
      </c>
      <c r="AV59" s="42">
        <f>AS59+AT59+AU59</f>
        <v>0.42733399999999999</v>
      </c>
      <c r="AW59" s="42">
        <f>1777.42/10000</f>
        <v>0.17774200000000001</v>
      </c>
      <c r="AX59" s="42">
        <f>2346.75/10000</f>
        <v>0.23467499999999999</v>
      </c>
      <c r="AY59" s="42">
        <f>780.65/10000</f>
        <v>7.8064999999999996E-2</v>
      </c>
      <c r="AZ59" s="42">
        <f>SUM(AW59:AY59)</f>
        <v>0.49048200000000003</v>
      </c>
      <c r="BA59" s="92"/>
      <c r="BB59" s="112"/>
      <c r="BC59" s="128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44"/>
      <c r="HJ59" s="44"/>
      <c r="HK59" s="44"/>
      <c r="HL59" s="44"/>
      <c r="HM59" s="44"/>
      <c r="HN59" s="44"/>
      <c r="HO59" s="44"/>
      <c r="HP59" s="44"/>
      <c r="HQ59" s="44"/>
      <c r="HR59" s="44"/>
      <c r="HS59" s="44"/>
      <c r="HT59" s="44"/>
      <c r="HU59" s="44"/>
      <c r="HV59" s="44"/>
      <c r="HW59" s="44"/>
      <c r="HX59" s="44"/>
      <c r="HY59" s="44"/>
      <c r="HZ59" s="44"/>
      <c r="IA59" s="44"/>
      <c r="IB59" s="44"/>
      <c r="IC59" s="44"/>
      <c r="ID59" s="44"/>
      <c r="IE59" s="44"/>
      <c r="IF59" s="44"/>
      <c r="IG59" s="44"/>
      <c r="IH59" s="44"/>
      <c r="II59" s="44"/>
      <c r="IJ59" s="44"/>
      <c r="IK59" s="44"/>
      <c r="IL59" s="44"/>
      <c r="IM59" s="44"/>
      <c r="IN59" s="44"/>
      <c r="IO59" s="44"/>
      <c r="IP59" s="44"/>
      <c r="IQ59" s="44"/>
      <c r="IR59" s="44"/>
      <c r="IS59" s="44"/>
      <c r="IT59" s="44"/>
      <c r="IU59" s="44"/>
      <c r="IV59" s="44"/>
    </row>
    <row r="60" spans="1:256" customFormat="1" ht="63.75" customHeight="1">
      <c r="A60" s="43" t="s">
        <v>1</v>
      </c>
      <c r="B60" s="43" t="s">
        <v>2</v>
      </c>
      <c r="C60" s="43" t="s">
        <v>16</v>
      </c>
      <c r="D60" s="43" t="s">
        <v>138</v>
      </c>
      <c r="E60" s="79" t="s">
        <v>45</v>
      </c>
      <c r="F60" s="79"/>
      <c r="G60" s="79"/>
      <c r="H60" s="79"/>
      <c r="I60" s="79" t="s">
        <v>46</v>
      </c>
      <c r="J60" s="79"/>
      <c r="K60" s="79"/>
      <c r="L60" s="79"/>
      <c r="M60" s="79" t="s">
        <v>47</v>
      </c>
      <c r="N60" s="79"/>
      <c r="O60" s="79"/>
      <c r="P60" s="79"/>
      <c r="Q60" s="79" t="s">
        <v>48</v>
      </c>
      <c r="R60" s="79"/>
      <c r="S60" s="79"/>
      <c r="T60" s="79"/>
      <c r="U60" s="79" t="s">
        <v>49</v>
      </c>
      <c r="V60" s="79"/>
      <c r="W60" s="79"/>
      <c r="X60" s="79"/>
      <c r="Y60" s="79" t="s">
        <v>50</v>
      </c>
      <c r="Z60" s="79"/>
      <c r="AA60" s="79"/>
      <c r="AB60" s="79"/>
      <c r="AC60" s="79" t="s">
        <v>51</v>
      </c>
      <c r="AD60" s="79"/>
      <c r="AE60" s="79"/>
      <c r="AF60" s="79"/>
      <c r="AG60" s="93" t="s">
        <v>52</v>
      </c>
      <c r="AH60" s="93"/>
      <c r="AI60" s="93"/>
      <c r="AJ60" s="93"/>
      <c r="AK60" s="79" t="s">
        <v>53</v>
      </c>
      <c r="AL60" s="79"/>
      <c r="AM60" s="79"/>
      <c r="AN60" s="79"/>
      <c r="AO60" s="79" t="s">
        <v>54</v>
      </c>
      <c r="AP60" s="79"/>
      <c r="AQ60" s="79"/>
      <c r="AR60" s="79"/>
      <c r="AS60" s="79" t="s">
        <v>55</v>
      </c>
      <c r="AT60" s="79"/>
      <c r="AU60" s="79"/>
      <c r="AV60" s="79"/>
      <c r="AW60" s="79" t="s">
        <v>56</v>
      </c>
      <c r="AX60" s="79"/>
      <c r="AY60" s="79"/>
      <c r="AZ60" s="79"/>
      <c r="BA60" s="43" t="s">
        <v>57</v>
      </c>
      <c r="BB60" s="43" t="s">
        <v>23</v>
      </c>
      <c r="BC60" s="43" t="s">
        <v>24</v>
      </c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44"/>
      <c r="HJ60" s="44"/>
      <c r="HK60" s="44"/>
      <c r="HL60" s="44"/>
      <c r="HM60" s="44"/>
      <c r="HN60" s="44"/>
      <c r="HO60" s="44"/>
      <c r="HP60" s="44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/>
      <c r="IJ60" s="44"/>
      <c r="IK60" s="44"/>
      <c r="IL60" s="44"/>
      <c r="IM60" s="44"/>
      <c r="IN60" s="44"/>
      <c r="IO60" s="44"/>
      <c r="IP60" s="44"/>
      <c r="IQ60" s="44"/>
      <c r="IR60" s="44"/>
      <c r="IS60" s="44"/>
      <c r="IT60" s="44"/>
      <c r="IU60" s="44"/>
      <c r="IV60" s="44"/>
    </row>
    <row r="61" spans="1:256" customFormat="1" ht="64.5" customHeight="1">
      <c r="A61" s="79" t="s">
        <v>145</v>
      </c>
      <c r="B61" s="79" t="s">
        <v>91</v>
      </c>
      <c r="C61" s="43" t="s">
        <v>17</v>
      </c>
      <c r="D61" s="45" t="s">
        <v>139</v>
      </c>
      <c r="E61" s="46" t="s">
        <v>25</v>
      </c>
      <c r="F61" s="46" t="s">
        <v>26</v>
      </c>
      <c r="G61" s="46" t="s">
        <v>27</v>
      </c>
      <c r="H61" s="46" t="s">
        <v>59</v>
      </c>
      <c r="I61" s="46" t="s">
        <v>25</v>
      </c>
      <c r="J61" s="46" t="s">
        <v>26</v>
      </c>
      <c r="K61" s="46" t="s">
        <v>27</v>
      </c>
      <c r="L61" s="46" t="s">
        <v>59</v>
      </c>
      <c r="M61" s="46" t="s">
        <v>25</v>
      </c>
      <c r="N61" s="46" t="s">
        <v>26</v>
      </c>
      <c r="O61" s="46" t="s">
        <v>27</v>
      </c>
      <c r="P61" s="46" t="s">
        <v>59</v>
      </c>
      <c r="Q61" s="46" t="s">
        <v>25</v>
      </c>
      <c r="R61" s="46" t="s">
        <v>26</v>
      </c>
      <c r="S61" s="46" t="s">
        <v>27</v>
      </c>
      <c r="T61" s="46" t="s">
        <v>59</v>
      </c>
      <c r="U61" s="46" t="s">
        <v>25</v>
      </c>
      <c r="V61" s="46" t="s">
        <v>26</v>
      </c>
      <c r="W61" s="46" t="s">
        <v>27</v>
      </c>
      <c r="X61" s="46" t="s">
        <v>59</v>
      </c>
      <c r="Y61" s="46" t="s">
        <v>25</v>
      </c>
      <c r="Z61" s="46" t="s">
        <v>26</v>
      </c>
      <c r="AA61" s="46" t="s">
        <v>27</v>
      </c>
      <c r="AB61" s="46" t="s">
        <v>59</v>
      </c>
      <c r="AC61" s="46" t="s">
        <v>25</v>
      </c>
      <c r="AD61" s="46" t="s">
        <v>26</v>
      </c>
      <c r="AE61" s="46" t="s">
        <v>27</v>
      </c>
      <c r="AF61" s="46" t="s">
        <v>59</v>
      </c>
      <c r="AG61" s="46" t="s">
        <v>25</v>
      </c>
      <c r="AH61" s="46" t="s">
        <v>26</v>
      </c>
      <c r="AI61" s="46" t="s">
        <v>27</v>
      </c>
      <c r="AJ61" s="46" t="s">
        <v>59</v>
      </c>
      <c r="AK61" s="46" t="s">
        <v>25</v>
      </c>
      <c r="AL61" s="46" t="s">
        <v>26</v>
      </c>
      <c r="AM61" s="46" t="s">
        <v>27</v>
      </c>
      <c r="AN61" s="46" t="s">
        <v>59</v>
      </c>
      <c r="AO61" s="46" t="s">
        <v>25</v>
      </c>
      <c r="AP61" s="46" t="s">
        <v>26</v>
      </c>
      <c r="AQ61" s="46" t="s">
        <v>27</v>
      </c>
      <c r="AR61" s="46" t="s">
        <v>59</v>
      </c>
      <c r="AS61" s="46" t="s">
        <v>25</v>
      </c>
      <c r="AT61" s="46" t="s">
        <v>26</v>
      </c>
      <c r="AU61" s="46" t="s">
        <v>27</v>
      </c>
      <c r="AV61" s="46" t="s">
        <v>59</v>
      </c>
      <c r="AW61" s="46" t="s">
        <v>25</v>
      </c>
      <c r="AX61" s="46" t="s">
        <v>26</v>
      </c>
      <c r="AY61" s="46" t="s">
        <v>27</v>
      </c>
      <c r="AZ61" s="46" t="s">
        <v>59</v>
      </c>
      <c r="BA61" s="90">
        <f>H62+L62+P62+T62+X62+AB62+AF62+AJ62+AN62+AR62+AV62+AZ62</f>
        <v>374</v>
      </c>
      <c r="BB61" s="129">
        <f>(H66+L66+P66+T66+X66+AB66+AF66+AJ66+AN66+AR66+AV66+AZ66)</f>
        <v>8.7052139999999998</v>
      </c>
      <c r="BC61" s="94">
        <f>BB61/2</f>
        <v>4.3526069999999999</v>
      </c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44"/>
      <c r="HJ61" s="44"/>
      <c r="HK61" s="44"/>
      <c r="HL61" s="44"/>
      <c r="HM61" s="44"/>
      <c r="HN61" s="44"/>
      <c r="HO61" s="44"/>
      <c r="HP61" s="44"/>
      <c r="HQ61" s="44"/>
      <c r="HR61" s="44"/>
      <c r="HS61" s="44"/>
      <c r="HT61" s="44"/>
      <c r="HU61" s="44"/>
      <c r="HV61" s="44"/>
      <c r="HW61" s="44"/>
      <c r="HX61" s="44"/>
      <c r="HY61" s="44"/>
      <c r="HZ61" s="44"/>
      <c r="IA61" s="44"/>
      <c r="IB61" s="44"/>
      <c r="IC61" s="44"/>
      <c r="ID61" s="44"/>
      <c r="IE61" s="44"/>
      <c r="IF61" s="44"/>
      <c r="IG61" s="44"/>
      <c r="IH61" s="44"/>
      <c r="II61" s="44"/>
      <c r="IJ61" s="44"/>
      <c r="IK61" s="44"/>
      <c r="IL61" s="44"/>
      <c r="IM61" s="44"/>
      <c r="IN61" s="44"/>
      <c r="IO61" s="44"/>
      <c r="IP61" s="44"/>
      <c r="IQ61" s="44"/>
      <c r="IR61" s="44"/>
      <c r="IS61" s="44"/>
      <c r="IT61" s="44"/>
      <c r="IU61" s="44"/>
      <c r="IV61" s="44"/>
    </row>
    <row r="62" spans="1:256" customFormat="1" ht="36.75" customHeight="1">
      <c r="A62" s="79"/>
      <c r="B62" s="79"/>
      <c r="C62" s="95" t="s">
        <v>18</v>
      </c>
      <c r="D62" s="97" t="s">
        <v>140</v>
      </c>
      <c r="E62" s="90">
        <v>5</v>
      </c>
      <c r="F62" s="90">
        <v>7</v>
      </c>
      <c r="G62" s="90">
        <v>26</v>
      </c>
      <c r="H62" s="90">
        <v>38</v>
      </c>
      <c r="I62" s="90">
        <v>6</v>
      </c>
      <c r="J62" s="90">
        <v>9</v>
      </c>
      <c r="K62" s="90">
        <v>28</v>
      </c>
      <c r="L62" s="95" t="s">
        <v>141</v>
      </c>
      <c r="M62" s="90">
        <v>7</v>
      </c>
      <c r="N62" s="90">
        <v>9</v>
      </c>
      <c r="O62" s="90">
        <v>32</v>
      </c>
      <c r="P62" s="90">
        <v>48</v>
      </c>
      <c r="Q62" s="90">
        <v>6</v>
      </c>
      <c r="R62" s="90">
        <v>10</v>
      </c>
      <c r="S62" s="90">
        <v>31</v>
      </c>
      <c r="T62" s="90">
        <v>47</v>
      </c>
      <c r="U62" s="90">
        <v>6</v>
      </c>
      <c r="V62" s="90">
        <v>10</v>
      </c>
      <c r="W62" s="90">
        <v>31</v>
      </c>
      <c r="X62" s="90">
        <v>47</v>
      </c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>
        <v>3</v>
      </c>
      <c r="AL62" s="90">
        <v>7</v>
      </c>
      <c r="AM62" s="90">
        <v>27</v>
      </c>
      <c r="AN62" s="90">
        <v>37</v>
      </c>
      <c r="AO62" s="90">
        <v>3</v>
      </c>
      <c r="AP62" s="90">
        <v>6</v>
      </c>
      <c r="AQ62" s="90">
        <v>27</v>
      </c>
      <c r="AR62" s="90">
        <v>36</v>
      </c>
      <c r="AS62" s="90">
        <v>5</v>
      </c>
      <c r="AT62" s="90">
        <v>8</v>
      </c>
      <c r="AU62" s="90">
        <v>27</v>
      </c>
      <c r="AV62" s="90">
        <v>40</v>
      </c>
      <c r="AW62" s="90">
        <v>5</v>
      </c>
      <c r="AX62" s="90">
        <v>7</v>
      </c>
      <c r="AY62" s="90">
        <v>26</v>
      </c>
      <c r="AZ62" s="90">
        <v>38</v>
      </c>
      <c r="BA62" s="91"/>
      <c r="BB62" s="129"/>
      <c r="BC62" s="9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44"/>
      <c r="HJ62" s="44"/>
      <c r="HK62" s="44"/>
      <c r="HL62" s="44"/>
      <c r="HM62" s="44"/>
      <c r="HN62" s="44"/>
      <c r="HO62" s="44"/>
      <c r="HP62" s="44"/>
      <c r="HQ62" s="44"/>
      <c r="HR62" s="44"/>
      <c r="HS62" s="44"/>
      <c r="HT62" s="44"/>
      <c r="HU62" s="44"/>
      <c r="HV62" s="44"/>
      <c r="HW62" s="44"/>
      <c r="HX62" s="44"/>
      <c r="HY62" s="44"/>
      <c r="HZ62" s="44"/>
      <c r="IA62" s="44"/>
      <c r="IB62" s="44"/>
      <c r="IC62" s="44"/>
      <c r="ID62" s="44"/>
      <c r="IE62" s="44"/>
      <c r="IF62" s="44"/>
      <c r="IG62" s="44"/>
      <c r="IH62" s="44"/>
      <c r="II62" s="44"/>
      <c r="IJ62" s="44"/>
      <c r="IK62" s="44"/>
      <c r="IL62" s="44"/>
      <c r="IM62" s="44"/>
      <c r="IN62" s="44"/>
      <c r="IO62" s="44"/>
      <c r="IP62" s="44"/>
      <c r="IQ62" s="44"/>
      <c r="IR62" s="44"/>
      <c r="IS62" s="44"/>
      <c r="IT62" s="44"/>
      <c r="IU62" s="44"/>
      <c r="IV62" s="44"/>
    </row>
    <row r="63" spans="1:256" customFormat="1" ht="33" customHeight="1">
      <c r="A63" s="79"/>
      <c r="B63" s="79"/>
      <c r="C63" s="96"/>
      <c r="D63" s="98"/>
      <c r="E63" s="92"/>
      <c r="F63" s="92"/>
      <c r="G63" s="92"/>
      <c r="H63" s="92"/>
      <c r="I63" s="92"/>
      <c r="J63" s="92"/>
      <c r="K63" s="92"/>
      <c r="L63" s="96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1"/>
      <c r="BB63" s="129"/>
      <c r="BC63" s="9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/>
      <c r="IJ63" s="44"/>
      <c r="IK63" s="44"/>
      <c r="IL63" s="44"/>
      <c r="IM63" s="44"/>
      <c r="IN63" s="44"/>
      <c r="IO63" s="44"/>
      <c r="IP63" s="44"/>
      <c r="IQ63" s="44"/>
      <c r="IR63" s="44"/>
      <c r="IS63" s="44"/>
      <c r="IT63" s="44"/>
      <c r="IU63" s="44"/>
      <c r="IV63" s="44"/>
    </row>
    <row r="64" spans="1:256" customFormat="1" ht="50.25" customHeight="1">
      <c r="A64" s="79"/>
      <c r="B64" s="79"/>
      <c r="C64" s="43" t="s">
        <v>62</v>
      </c>
      <c r="D64" s="47" t="s">
        <v>142</v>
      </c>
      <c r="E64" s="99" t="s">
        <v>64</v>
      </c>
      <c r="F64" s="99"/>
      <c r="G64" s="99"/>
      <c r="H64" s="99"/>
      <c r="I64" s="99" t="s">
        <v>65</v>
      </c>
      <c r="J64" s="99"/>
      <c r="K64" s="99"/>
      <c r="L64" s="99"/>
      <c r="M64" s="99" t="s">
        <v>66</v>
      </c>
      <c r="N64" s="99"/>
      <c r="O64" s="99"/>
      <c r="P64" s="99"/>
      <c r="Q64" s="99" t="s">
        <v>67</v>
      </c>
      <c r="R64" s="99"/>
      <c r="S64" s="99"/>
      <c r="T64" s="99"/>
      <c r="U64" s="99" t="s">
        <v>68</v>
      </c>
      <c r="V64" s="99"/>
      <c r="W64" s="99"/>
      <c r="X64" s="99"/>
      <c r="Y64" s="99" t="s">
        <v>69</v>
      </c>
      <c r="Z64" s="99"/>
      <c r="AA64" s="99"/>
      <c r="AB64" s="99"/>
      <c r="AC64" s="99" t="s">
        <v>70</v>
      </c>
      <c r="AD64" s="99"/>
      <c r="AE64" s="99"/>
      <c r="AF64" s="99"/>
      <c r="AG64" s="99" t="s">
        <v>71</v>
      </c>
      <c r="AH64" s="99"/>
      <c r="AI64" s="99"/>
      <c r="AJ64" s="99"/>
      <c r="AK64" s="99" t="s">
        <v>86</v>
      </c>
      <c r="AL64" s="99"/>
      <c r="AM64" s="99"/>
      <c r="AN64" s="99"/>
      <c r="AO64" s="99" t="s">
        <v>73</v>
      </c>
      <c r="AP64" s="99"/>
      <c r="AQ64" s="99"/>
      <c r="AR64" s="99"/>
      <c r="AS64" s="99" t="s">
        <v>74</v>
      </c>
      <c r="AT64" s="99"/>
      <c r="AU64" s="99"/>
      <c r="AV64" s="99"/>
      <c r="AW64" s="99" t="s">
        <v>75</v>
      </c>
      <c r="AX64" s="99"/>
      <c r="AY64" s="99"/>
      <c r="AZ64" s="99"/>
      <c r="BA64" s="91"/>
      <c r="BB64" s="129"/>
      <c r="BC64" s="9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/>
      <c r="EY64" s="44"/>
      <c r="EZ64" s="44"/>
      <c r="FA64" s="44"/>
      <c r="FB64" s="44"/>
      <c r="FC64" s="44"/>
      <c r="FD64" s="44"/>
      <c r="FE64" s="44"/>
      <c r="FF64" s="44"/>
      <c r="FG64" s="44"/>
      <c r="FH64" s="44"/>
      <c r="FI64" s="44"/>
      <c r="FJ64" s="44"/>
      <c r="FK64" s="44"/>
      <c r="FL64" s="44"/>
      <c r="FM64" s="44"/>
      <c r="FN64" s="44"/>
      <c r="FO64" s="44"/>
      <c r="FP64" s="44"/>
      <c r="FQ64" s="44"/>
      <c r="FR64" s="44"/>
      <c r="FS64" s="44"/>
      <c r="FT64" s="44"/>
      <c r="FU64" s="44"/>
      <c r="FV64" s="44"/>
      <c r="FW64" s="44"/>
      <c r="FX64" s="44"/>
      <c r="FY64" s="44"/>
      <c r="FZ64" s="44"/>
      <c r="GA64" s="44"/>
      <c r="GB64" s="44"/>
      <c r="GC64" s="44"/>
      <c r="GD64" s="44"/>
      <c r="GE64" s="44"/>
      <c r="GF64" s="44"/>
      <c r="GG64" s="44"/>
      <c r="GH64" s="44"/>
      <c r="GI64" s="44"/>
      <c r="GJ64" s="44"/>
      <c r="GK64" s="44"/>
      <c r="GL64" s="44"/>
      <c r="GM64" s="44"/>
      <c r="GN64" s="44"/>
      <c r="GO64" s="44"/>
      <c r="GP64" s="44"/>
      <c r="GQ64" s="44"/>
      <c r="GR64" s="44"/>
      <c r="GS64" s="44"/>
      <c r="GT64" s="44"/>
      <c r="GU64" s="44"/>
      <c r="GV64" s="44"/>
      <c r="GW64" s="44"/>
      <c r="GX64" s="44"/>
      <c r="GY64" s="44"/>
      <c r="GZ64" s="44"/>
      <c r="HA64" s="44"/>
      <c r="HB64" s="44"/>
      <c r="HC64" s="44"/>
      <c r="HD64" s="44"/>
      <c r="HE64" s="44"/>
      <c r="HF64" s="44"/>
      <c r="HG64" s="44"/>
      <c r="HH64" s="44"/>
      <c r="HI64" s="44"/>
      <c r="HJ64" s="44"/>
      <c r="HK64" s="44"/>
      <c r="HL64" s="44"/>
      <c r="HM64" s="44"/>
      <c r="HN64" s="44"/>
      <c r="HO64" s="44"/>
      <c r="HP64" s="44"/>
      <c r="HQ64" s="44"/>
      <c r="HR64" s="44"/>
      <c r="HS64" s="44"/>
      <c r="HT64" s="44"/>
      <c r="HU64" s="44"/>
      <c r="HV64" s="44"/>
      <c r="HW64" s="44"/>
      <c r="HX64" s="44"/>
      <c r="HY64" s="44"/>
      <c r="HZ64" s="44"/>
      <c r="IA64" s="44"/>
      <c r="IB64" s="44"/>
      <c r="IC64" s="44"/>
      <c r="ID64" s="44"/>
      <c r="IE64" s="44"/>
      <c r="IF64" s="44"/>
      <c r="IG64" s="44"/>
      <c r="IH64" s="44"/>
      <c r="II64" s="44"/>
      <c r="IJ64" s="44"/>
      <c r="IK64" s="44"/>
      <c r="IL64" s="44"/>
      <c r="IM64" s="44"/>
      <c r="IN64" s="44"/>
      <c r="IO64" s="44"/>
      <c r="IP64" s="44"/>
      <c r="IQ64" s="44"/>
      <c r="IR64" s="44"/>
      <c r="IS64" s="44"/>
      <c r="IT64" s="44"/>
      <c r="IU64" s="44"/>
      <c r="IV64" s="44"/>
    </row>
    <row r="65" spans="1:256" customFormat="1" ht="63" customHeight="1">
      <c r="A65" s="79"/>
      <c r="B65" s="79"/>
      <c r="C65" s="43" t="s">
        <v>76</v>
      </c>
      <c r="D65" s="43" t="s">
        <v>143</v>
      </c>
      <c r="E65" s="46" t="s">
        <v>25</v>
      </c>
      <c r="F65" s="46" t="s">
        <v>26</v>
      </c>
      <c r="G65" s="46" t="s">
        <v>27</v>
      </c>
      <c r="H65" s="46" t="s">
        <v>59</v>
      </c>
      <c r="I65" s="46" t="s">
        <v>25</v>
      </c>
      <c r="J65" s="46" t="s">
        <v>26</v>
      </c>
      <c r="K65" s="46" t="s">
        <v>27</v>
      </c>
      <c r="L65" s="46" t="s">
        <v>59</v>
      </c>
      <c r="M65" s="46" t="s">
        <v>25</v>
      </c>
      <c r="N65" s="46" t="s">
        <v>26</v>
      </c>
      <c r="O65" s="46" t="s">
        <v>27</v>
      </c>
      <c r="P65" s="46" t="s">
        <v>59</v>
      </c>
      <c r="Q65" s="46" t="s">
        <v>25</v>
      </c>
      <c r="R65" s="46" t="s">
        <v>26</v>
      </c>
      <c r="S65" s="46" t="s">
        <v>27</v>
      </c>
      <c r="T65" s="46" t="s">
        <v>59</v>
      </c>
      <c r="U65" s="46" t="s">
        <v>25</v>
      </c>
      <c r="V65" s="46" t="s">
        <v>26</v>
      </c>
      <c r="W65" s="46" t="s">
        <v>27</v>
      </c>
      <c r="X65" s="46" t="s">
        <v>59</v>
      </c>
      <c r="Y65" s="46" t="s">
        <v>25</v>
      </c>
      <c r="Z65" s="46" t="s">
        <v>26</v>
      </c>
      <c r="AA65" s="46" t="s">
        <v>27</v>
      </c>
      <c r="AB65" s="46" t="s">
        <v>59</v>
      </c>
      <c r="AC65" s="46" t="s">
        <v>25</v>
      </c>
      <c r="AD65" s="46" t="s">
        <v>26</v>
      </c>
      <c r="AE65" s="46" t="s">
        <v>27</v>
      </c>
      <c r="AF65" s="46" t="s">
        <v>59</v>
      </c>
      <c r="AG65" s="46" t="s">
        <v>25</v>
      </c>
      <c r="AH65" s="46" t="s">
        <v>26</v>
      </c>
      <c r="AI65" s="46" t="s">
        <v>27</v>
      </c>
      <c r="AJ65" s="46" t="s">
        <v>59</v>
      </c>
      <c r="AK65" s="46" t="s">
        <v>25</v>
      </c>
      <c r="AL65" s="46" t="s">
        <v>26</v>
      </c>
      <c r="AM65" s="46" t="s">
        <v>27</v>
      </c>
      <c r="AN65" s="46" t="s">
        <v>59</v>
      </c>
      <c r="AO65" s="46" t="s">
        <v>25</v>
      </c>
      <c r="AP65" s="46" t="s">
        <v>26</v>
      </c>
      <c r="AQ65" s="46" t="s">
        <v>27</v>
      </c>
      <c r="AR65" s="46" t="s">
        <v>59</v>
      </c>
      <c r="AS65" s="46" t="s">
        <v>25</v>
      </c>
      <c r="AT65" s="46" t="s">
        <v>26</v>
      </c>
      <c r="AU65" s="46" t="s">
        <v>27</v>
      </c>
      <c r="AV65" s="46" t="s">
        <v>59</v>
      </c>
      <c r="AW65" s="46" t="s">
        <v>25</v>
      </c>
      <c r="AX65" s="46" t="s">
        <v>26</v>
      </c>
      <c r="AY65" s="46" t="s">
        <v>27</v>
      </c>
      <c r="AZ65" s="46" t="s">
        <v>59</v>
      </c>
      <c r="BA65" s="91"/>
      <c r="BB65" s="129"/>
      <c r="BC65" s="9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  <c r="FT65" s="44"/>
      <c r="FU65" s="44"/>
      <c r="FV65" s="44"/>
      <c r="FW65" s="44"/>
      <c r="FX65" s="44"/>
      <c r="FY65" s="44"/>
      <c r="FZ65" s="44"/>
      <c r="GA65" s="44"/>
      <c r="GB65" s="44"/>
      <c r="GC65" s="44"/>
      <c r="GD65" s="44"/>
      <c r="GE65" s="44"/>
      <c r="GF65" s="44"/>
      <c r="GG65" s="44"/>
      <c r="GH65" s="44"/>
      <c r="GI65" s="44"/>
      <c r="GJ65" s="44"/>
      <c r="GK65" s="44"/>
      <c r="GL65" s="44"/>
      <c r="GM65" s="44"/>
      <c r="GN65" s="44"/>
      <c r="GO65" s="44"/>
      <c r="GP65" s="44"/>
      <c r="GQ65" s="44"/>
      <c r="GR65" s="44"/>
      <c r="GS65" s="44"/>
      <c r="GT65" s="44"/>
      <c r="GU65" s="44"/>
      <c r="GV65" s="44"/>
      <c r="GW65" s="44"/>
      <c r="GX65" s="44"/>
      <c r="GY65" s="44"/>
      <c r="GZ65" s="44"/>
      <c r="HA65" s="44"/>
      <c r="HB65" s="44"/>
      <c r="HC65" s="44"/>
      <c r="HD65" s="44"/>
      <c r="HE65" s="44"/>
      <c r="HF65" s="44"/>
      <c r="HG65" s="44"/>
      <c r="HH65" s="44"/>
      <c r="HI65" s="44"/>
      <c r="HJ65" s="44"/>
      <c r="HK65" s="44"/>
      <c r="HL65" s="44"/>
      <c r="HM65" s="44"/>
      <c r="HN65" s="44"/>
      <c r="HO65" s="44"/>
      <c r="HP65" s="44"/>
      <c r="HQ65" s="44"/>
      <c r="HR65" s="44"/>
      <c r="HS65" s="44"/>
      <c r="HT65" s="44"/>
      <c r="HU65" s="44"/>
      <c r="HV65" s="44"/>
      <c r="HW65" s="44"/>
      <c r="HX65" s="44"/>
      <c r="HY65" s="44"/>
      <c r="HZ65" s="44"/>
      <c r="IA65" s="44"/>
      <c r="IB65" s="44"/>
      <c r="IC65" s="44"/>
      <c r="ID65" s="44"/>
      <c r="IE65" s="44"/>
      <c r="IF65" s="44"/>
      <c r="IG65" s="44"/>
      <c r="IH65" s="44"/>
      <c r="II65" s="44"/>
      <c r="IJ65" s="44"/>
      <c r="IK65" s="44"/>
      <c r="IL65" s="44"/>
      <c r="IM65" s="44"/>
      <c r="IN65" s="44"/>
      <c r="IO65" s="44"/>
      <c r="IP65" s="44"/>
      <c r="IQ65" s="44"/>
      <c r="IR65" s="44"/>
      <c r="IS65" s="44"/>
      <c r="IT65" s="44"/>
      <c r="IU65" s="44"/>
      <c r="IV65" s="44"/>
    </row>
    <row r="66" spans="1:256" customFormat="1" ht="64.5" customHeight="1">
      <c r="A66" s="79"/>
      <c r="B66" s="79"/>
      <c r="C66" s="43" t="s">
        <v>88</v>
      </c>
      <c r="D66" s="43" t="s">
        <v>144</v>
      </c>
      <c r="E66" s="42">
        <v>0.13</v>
      </c>
      <c r="F66" s="42">
        <v>0.182</v>
      </c>
      <c r="G66" s="42">
        <v>0.67600000000000005</v>
      </c>
      <c r="H66" s="42">
        <f>SUM(E66:G66)</f>
        <v>0.98799999999999999</v>
      </c>
      <c r="I66" s="42">
        <f>1560/10000</f>
        <v>0.156</v>
      </c>
      <c r="J66" s="42">
        <f>2340/10000</f>
        <v>0.23400000000000001</v>
      </c>
      <c r="K66" s="42">
        <f>7280/10000</f>
        <v>0.72799999999999998</v>
      </c>
      <c r="L66" s="42">
        <f>SUM(I66:K66)</f>
        <v>1.1179999999999999</v>
      </c>
      <c r="M66" s="42">
        <f>1820/10000</f>
        <v>0.182</v>
      </c>
      <c r="N66" s="42">
        <f>2340/10000</f>
        <v>0.23400000000000001</v>
      </c>
      <c r="O66" s="42">
        <f>8320/10000</f>
        <v>0.83199999999999996</v>
      </c>
      <c r="P66" s="42">
        <f>SUM(M66:O66)</f>
        <v>1.248</v>
      </c>
      <c r="Q66" s="42">
        <f>1560/10000</f>
        <v>0.156</v>
      </c>
      <c r="R66" s="42">
        <f>2600/10000</f>
        <v>0.26</v>
      </c>
      <c r="S66" s="42">
        <f>8060/10000</f>
        <v>0.80600000000000005</v>
      </c>
      <c r="T66" s="42">
        <f>SUM(Q66:S66)</f>
        <v>1.222</v>
      </c>
      <c r="U66" s="42">
        <f>1560/10000</f>
        <v>0.156</v>
      </c>
      <c r="V66" s="42">
        <f>2600/10000</f>
        <v>0.26</v>
      </c>
      <c r="W66" s="42">
        <f>8060/10000</f>
        <v>0.80600000000000005</v>
      </c>
      <c r="X66" s="42">
        <f>SUM(U66:W66)</f>
        <v>1.222</v>
      </c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>
        <f>173.34/10000</f>
        <v>1.7333999999999999E-2</v>
      </c>
      <c r="AL66" s="42">
        <f>563.34/10000</f>
        <v>5.6334000000000002E-2</v>
      </c>
      <c r="AM66" s="42">
        <f>2547.98/10000</f>
        <v>0.25479800000000002</v>
      </c>
      <c r="AN66" s="42">
        <f>SUM(AK66:AM66)</f>
        <v>0.32846600000000004</v>
      </c>
      <c r="AO66" s="42">
        <f>595.49/10000</f>
        <v>5.9548999999999998E-2</v>
      </c>
      <c r="AP66" s="42">
        <f>1442.58/10000</f>
        <v>0.144258</v>
      </c>
      <c r="AQ66" s="42">
        <f>6332.25/10000</f>
        <v>0.63322500000000004</v>
      </c>
      <c r="AR66" s="42">
        <f>SUM(AO66:AQ66)</f>
        <v>0.837032</v>
      </c>
      <c r="AS66" s="42">
        <f>762.66/10000</f>
        <v>7.6266E-2</v>
      </c>
      <c r="AT66" s="42">
        <f>1638/10000</f>
        <v>0.1638</v>
      </c>
      <c r="AU66" s="42">
        <f>5832.63/10000</f>
        <v>0.58326299999999998</v>
      </c>
      <c r="AV66" s="42">
        <f>SUM(AS66:AU66)</f>
        <v>0.82332899999999998</v>
      </c>
      <c r="AW66" s="42">
        <f>1065.16/10000</f>
        <v>0.10651600000000001</v>
      </c>
      <c r="AX66" s="42">
        <f>1660.64/10000</f>
        <v>0.16606400000000002</v>
      </c>
      <c r="AY66" s="42">
        <f>6458.07/10000</f>
        <v>0.64580700000000002</v>
      </c>
      <c r="AZ66" s="42">
        <f>SUM(AW66:AY66)</f>
        <v>0.91838700000000006</v>
      </c>
      <c r="BA66" s="92"/>
      <c r="BB66" s="129"/>
      <c r="BC66" s="9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4"/>
      <c r="GC66" s="44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4"/>
      <c r="IA66" s="44"/>
      <c r="IB66" s="44"/>
      <c r="IC66" s="44"/>
      <c r="ID66" s="44"/>
      <c r="IE66" s="44"/>
      <c r="IF66" s="44"/>
      <c r="IG66" s="44"/>
      <c r="IH66" s="44"/>
      <c r="II66" s="44"/>
      <c r="IJ66" s="44"/>
      <c r="IK66" s="44"/>
      <c r="IL66" s="44"/>
      <c r="IM66" s="44"/>
      <c r="IN66" s="44"/>
      <c r="IO66" s="44"/>
      <c r="IP66" s="44"/>
      <c r="IQ66" s="44"/>
      <c r="IR66" s="44"/>
      <c r="IS66" s="44"/>
      <c r="IT66" s="44"/>
      <c r="IU66" s="44"/>
      <c r="IV66" s="44"/>
    </row>
    <row r="67" spans="1:256" customFormat="1" ht="64.5" customHeight="1">
      <c r="A67" s="131" t="s">
        <v>146</v>
      </c>
      <c r="B67" s="132"/>
      <c r="C67" s="132"/>
      <c r="D67" s="133"/>
      <c r="E67" s="46" t="s">
        <v>25</v>
      </c>
      <c r="F67" s="46" t="s">
        <v>26</v>
      </c>
      <c r="G67" s="46" t="s">
        <v>27</v>
      </c>
      <c r="H67" s="46" t="s">
        <v>59</v>
      </c>
      <c r="I67" s="46" t="s">
        <v>25</v>
      </c>
      <c r="J67" s="46" t="s">
        <v>26</v>
      </c>
      <c r="K67" s="46" t="s">
        <v>27</v>
      </c>
      <c r="L67" s="46" t="s">
        <v>59</v>
      </c>
      <c r="M67" s="46" t="s">
        <v>25</v>
      </c>
      <c r="N67" s="46" t="s">
        <v>26</v>
      </c>
      <c r="O67" s="46" t="s">
        <v>27</v>
      </c>
      <c r="P67" s="46" t="s">
        <v>59</v>
      </c>
      <c r="Q67" s="46" t="s">
        <v>25</v>
      </c>
      <c r="R67" s="46" t="s">
        <v>26</v>
      </c>
      <c r="S67" s="46" t="s">
        <v>27</v>
      </c>
      <c r="T67" s="46" t="s">
        <v>59</v>
      </c>
      <c r="U67" s="46" t="s">
        <v>25</v>
      </c>
      <c r="V67" s="46" t="s">
        <v>26</v>
      </c>
      <c r="W67" s="46" t="s">
        <v>27</v>
      </c>
      <c r="X67" s="46" t="s">
        <v>59</v>
      </c>
      <c r="Y67" s="46" t="s">
        <v>25</v>
      </c>
      <c r="Z67" s="46" t="s">
        <v>26</v>
      </c>
      <c r="AA67" s="46" t="s">
        <v>27</v>
      </c>
      <c r="AB67" s="46" t="s">
        <v>59</v>
      </c>
      <c r="AC67" s="46" t="s">
        <v>25</v>
      </c>
      <c r="AD67" s="46" t="s">
        <v>26</v>
      </c>
      <c r="AE67" s="46" t="s">
        <v>27</v>
      </c>
      <c r="AF67" s="46" t="s">
        <v>59</v>
      </c>
      <c r="AG67" s="46" t="s">
        <v>25</v>
      </c>
      <c r="AH67" s="46" t="s">
        <v>26</v>
      </c>
      <c r="AI67" s="46" t="s">
        <v>27</v>
      </c>
      <c r="AJ67" s="46" t="s">
        <v>59</v>
      </c>
      <c r="AK67" s="46" t="s">
        <v>25</v>
      </c>
      <c r="AL67" s="46" t="s">
        <v>26</v>
      </c>
      <c r="AM67" s="46" t="s">
        <v>27</v>
      </c>
      <c r="AN67" s="46" t="s">
        <v>59</v>
      </c>
      <c r="AO67" s="46" t="s">
        <v>25</v>
      </c>
      <c r="AP67" s="46" t="s">
        <v>26</v>
      </c>
      <c r="AQ67" s="46" t="s">
        <v>27</v>
      </c>
      <c r="AR67" s="46" t="s">
        <v>59</v>
      </c>
      <c r="AS67" s="46" t="s">
        <v>25</v>
      </c>
      <c r="AT67" s="46" t="s">
        <v>26</v>
      </c>
      <c r="AU67" s="46" t="s">
        <v>27</v>
      </c>
      <c r="AV67" s="46" t="s">
        <v>59</v>
      </c>
      <c r="AW67" s="46" t="s">
        <v>25</v>
      </c>
      <c r="AX67" s="46" t="s">
        <v>26</v>
      </c>
      <c r="AY67" s="46" t="s">
        <v>27</v>
      </c>
      <c r="AZ67" s="46" t="s">
        <v>59</v>
      </c>
      <c r="BA67" s="90">
        <f>H68+L68+P68+T68+X68+AB68+AF68+AJ68+AN68+AR68+AV68+AZ68</f>
        <v>6023</v>
      </c>
      <c r="BB67" s="130">
        <f>(H72+L72+P72+T72+X72+AB72+AF72+AJ72+AN72+AR72+AV72+AZ72)</f>
        <v>103.73370299999999</v>
      </c>
      <c r="BC67" s="130">
        <f>BB67/2</f>
        <v>51.866851499999996</v>
      </c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4"/>
      <c r="GC67" s="44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4"/>
      <c r="IA67" s="44"/>
      <c r="IB67" s="44"/>
      <c r="IC67" s="44"/>
      <c r="ID67" s="44"/>
      <c r="IE67" s="44"/>
      <c r="IF67" s="44"/>
      <c r="IG67" s="44"/>
      <c r="IH67" s="44"/>
      <c r="II67" s="44"/>
      <c r="IJ67" s="44"/>
      <c r="IK67" s="44"/>
      <c r="IL67" s="44"/>
      <c r="IM67" s="44"/>
      <c r="IN67" s="44"/>
      <c r="IO67" s="44"/>
      <c r="IP67" s="44"/>
      <c r="IQ67" s="44"/>
      <c r="IR67" s="44"/>
      <c r="IS67" s="44"/>
      <c r="IT67" s="44"/>
      <c r="IU67" s="44"/>
      <c r="IV67" s="44"/>
    </row>
    <row r="68" spans="1:256" customFormat="1" ht="35.25" customHeight="1">
      <c r="A68" s="134"/>
      <c r="B68" s="135"/>
      <c r="C68" s="135"/>
      <c r="D68" s="136"/>
      <c r="E68" s="103">
        <f>E6+E13+E20+E27+E34+E41+E48+E55+E62</f>
        <v>74</v>
      </c>
      <c r="F68" s="103">
        <f t="shared" ref="F68:AZ68" si="0">F6+F13+F20+F27+F34+F41+F48+F55+F62</f>
        <v>65</v>
      </c>
      <c r="G68" s="103">
        <f t="shared" si="0"/>
        <v>341</v>
      </c>
      <c r="H68" s="103">
        <f t="shared" si="0"/>
        <v>480</v>
      </c>
      <c r="I68" s="103">
        <f t="shared" si="0"/>
        <v>80</v>
      </c>
      <c r="J68" s="103">
        <f t="shared" si="0"/>
        <v>70</v>
      </c>
      <c r="K68" s="103">
        <f t="shared" si="0"/>
        <v>357</v>
      </c>
      <c r="L68" s="103">
        <f t="shared" si="0"/>
        <v>507</v>
      </c>
      <c r="M68" s="103">
        <f t="shared" si="0"/>
        <v>79</v>
      </c>
      <c r="N68" s="103">
        <f t="shared" si="0"/>
        <v>70</v>
      </c>
      <c r="O68" s="103">
        <f t="shared" si="0"/>
        <v>373</v>
      </c>
      <c r="P68" s="103">
        <f t="shared" si="0"/>
        <v>522</v>
      </c>
      <c r="Q68" s="103">
        <f t="shared" si="0"/>
        <v>82</v>
      </c>
      <c r="R68" s="103">
        <f t="shared" si="0"/>
        <v>71</v>
      </c>
      <c r="S68" s="103">
        <f t="shared" si="0"/>
        <v>390</v>
      </c>
      <c r="T68" s="103">
        <f t="shared" si="0"/>
        <v>543</v>
      </c>
      <c r="U68" s="103">
        <f t="shared" si="0"/>
        <v>83</v>
      </c>
      <c r="V68" s="103">
        <f t="shared" si="0"/>
        <v>70</v>
      </c>
      <c r="W68" s="103">
        <f t="shared" si="0"/>
        <v>400</v>
      </c>
      <c r="X68" s="103">
        <f t="shared" si="0"/>
        <v>553</v>
      </c>
      <c r="Y68" s="103">
        <f t="shared" si="0"/>
        <v>53</v>
      </c>
      <c r="Z68" s="103">
        <f t="shared" si="0"/>
        <v>68</v>
      </c>
      <c r="AA68" s="103">
        <f t="shared" si="0"/>
        <v>301</v>
      </c>
      <c r="AB68" s="103">
        <f t="shared" si="0"/>
        <v>422</v>
      </c>
      <c r="AC68" s="103">
        <f t="shared" si="0"/>
        <v>56</v>
      </c>
      <c r="AD68" s="103">
        <f t="shared" si="0"/>
        <v>69</v>
      </c>
      <c r="AE68" s="103">
        <f t="shared" si="0"/>
        <v>280</v>
      </c>
      <c r="AF68" s="103">
        <f t="shared" si="0"/>
        <v>405</v>
      </c>
      <c r="AG68" s="103">
        <f t="shared" si="0"/>
        <v>60</v>
      </c>
      <c r="AH68" s="103">
        <f t="shared" si="0"/>
        <v>65</v>
      </c>
      <c r="AI68" s="103">
        <f t="shared" si="0"/>
        <v>326</v>
      </c>
      <c r="AJ68" s="103">
        <f t="shared" si="0"/>
        <v>451</v>
      </c>
      <c r="AK68" s="103">
        <f t="shared" si="0"/>
        <v>65</v>
      </c>
      <c r="AL68" s="103">
        <f t="shared" si="0"/>
        <v>80</v>
      </c>
      <c r="AM68" s="103">
        <f t="shared" si="0"/>
        <v>368</v>
      </c>
      <c r="AN68" s="103">
        <f t="shared" si="0"/>
        <v>513</v>
      </c>
      <c r="AO68" s="103">
        <f t="shared" si="0"/>
        <v>61</v>
      </c>
      <c r="AP68" s="103">
        <f t="shared" si="0"/>
        <v>85</v>
      </c>
      <c r="AQ68" s="103">
        <f t="shared" si="0"/>
        <v>387</v>
      </c>
      <c r="AR68" s="103">
        <f t="shared" si="0"/>
        <v>533</v>
      </c>
      <c r="AS68" s="103">
        <f t="shared" si="0"/>
        <v>60</v>
      </c>
      <c r="AT68" s="103">
        <f t="shared" si="0"/>
        <v>79</v>
      </c>
      <c r="AU68" s="103">
        <f t="shared" si="0"/>
        <v>402</v>
      </c>
      <c r="AV68" s="103">
        <f t="shared" si="0"/>
        <v>541</v>
      </c>
      <c r="AW68" s="103">
        <f t="shared" si="0"/>
        <v>64</v>
      </c>
      <c r="AX68" s="103">
        <f t="shared" si="0"/>
        <v>88</v>
      </c>
      <c r="AY68" s="103">
        <f t="shared" si="0"/>
        <v>401</v>
      </c>
      <c r="AZ68" s="103">
        <f t="shared" si="0"/>
        <v>553</v>
      </c>
      <c r="BA68" s="91"/>
      <c r="BB68" s="130"/>
      <c r="BC68" s="130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4"/>
      <c r="GC68" s="44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44"/>
      <c r="HJ68" s="44"/>
      <c r="HK68" s="44"/>
      <c r="HL68" s="44"/>
      <c r="HM68" s="44"/>
      <c r="HN68" s="44"/>
      <c r="HO68" s="44"/>
      <c r="HP68" s="44"/>
      <c r="HQ68" s="44"/>
      <c r="HR68" s="44"/>
      <c r="HS68" s="44"/>
      <c r="HT68" s="44"/>
      <c r="HU68" s="44"/>
      <c r="HV68" s="44"/>
      <c r="HW68" s="44"/>
      <c r="HX68" s="44"/>
      <c r="HY68" s="44"/>
      <c r="HZ68" s="44"/>
      <c r="IA68" s="44"/>
      <c r="IB68" s="44"/>
      <c r="IC68" s="44"/>
      <c r="ID68" s="44"/>
      <c r="IE68" s="44"/>
      <c r="IF68" s="44"/>
      <c r="IG68" s="44"/>
      <c r="IH68" s="44"/>
      <c r="II68" s="44"/>
      <c r="IJ68" s="44"/>
      <c r="IK68" s="44"/>
      <c r="IL68" s="44"/>
      <c r="IM68" s="44"/>
      <c r="IN68" s="44"/>
      <c r="IO68" s="44"/>
      <c r="IP68" s="44"/>
      <c r="IQ68" s="44"/>
      <c r="IR68" s="44"/>
      <c r="IS68" s="44"/>
      <c r="IT68" s="44"/>
      <c r="IU68" s="44"/>
      <c r="IV68" s="44"/>
    </row>
    <row r="69" spans="1:256" customFormat="1" ht="18" customHeight="1">
      <c r="A69" s="134"/>
      <c r="B69" s="135"/>
      <c r="C69" s="135"/>
      <c r="D69" s="136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91"/>
      <c r="BB69" s="130"/>
      <c r="BC69" s="130"/>
      <c r="BD69" s="66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  <c r="FW69" s="44"/>
      <c r="FX69" s="44"/>
      <c r="FY69" s="44"/>
      <c r="FZ69" s="44"/>
      <c r="GA69" s="44"/>
      <c r="GB69" s="44"/>
      <c r="GC69" s="44"/>
      <c r="GD69" s="44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  <c r="GS69" s="44"/>
      <c r="GT69" s="44"/>
      <c r="GU69" s="44"/>
      <c r="GV69" s="44"/>
      <c r="GW69" s="44"/>
      <c r="GX69" s="44"/>
      <c r="GY69" s="44"/>
      <c r="GZ69" s="44"/>
      <c r="HA69" s="44"/>
      <c r="HB69" s="44"/>
      <c r="HC69" s="44"/>
      <c r="HD69" s="44"/>
      <c r="HE69" s="44"/>
      <c r="HF69" s="44"/>
      <c r="HG69" s="44"/>
      <c r="HH69" s="44"/>
      <c r="HI69" s="44"/>
      <c r="HJ69" s="44"/>
      <c r="HK69" s="44"/>
      <c r="HL69" s="44"/>
      <c r="HM69" s="44"/>
      <c r="HN69" s="44"/>
      <c r="HO69" s="44"/>
      <c r="HP69" s="44"/>
      <c r="HQ69" s="44"/>
      <c r="HR69" s="44"/>
      <c r="HS69" s="44"/>
      <c r="HT69" s="44"/>
      <c r="HU69" s="44"/>
      <c r="HV69" s="44"/>
      <c r="HW69" s="44"/>
      <c r="HX69" s="44"/>
      <c r="HY69" s="44"/>
      <c r="HZ69" s="44"/>
      <c r="IA69" s="44"/>
      <c r="IB69" s="44"/>
      <c r="IC69" s="44"/>
      <c r="ID69" s="44"/>
      <c r="IE69" s="44"/>
      <c r="IF69" s="44"/>
      <c r="IG69" s="44"/>
      <c r="IH69" s="44"/>
      <c r="II69" s="44"/>
      <c r="IJ69" s="44"/>
      <c r="IK69" s="44"/>
      <c r="IL69" s="44"/>
      <c r="IM69" s="44"/>
      <c r="IN69" s="44"/>
      <c r="IO69" s="44"/>
      <c r="IP69" s="44"/>
      <c r="IQ69" s="44"/>
      <c r="IR69" s="44"/>
      <c r="IS69" s="44"/>
      <c r="IT69" s="44"/>
      <c r="IU69" s="44"/>
      <c r="IV69" s="44"/>
    </row>
    <row r="70" spans="1:256" customFormat="1" ht="50.25" customHeight="1">
      <c r="A70" s="134"/>
      <c r="B70" s="135"/>
      <c r="C70" s="135"/>
      <c r="D70" s="136"/>
      <c r="E70" s="99" t="s">
        <v>64</v>
      </c>
      <c r="F70" s="99"/>
      <c r="G70" s="99"/>
      <c r="H70" s="99"/>
      <c r="I70" s="99" t="s">
        <v>65</v>
      </c>
      <c r="J70" s="99"/>
      <c r="K70" s="99"/>
      <c r="L70" s="99"/>
      <c r="M70" s="99" t="s">
        <v>66</v>
      </c>
      <c r="N70" s="99"/>
      <c r="O70" s="99"/>
      <c r="P70" s="99"/>
      <c r="Q70" s="99" t="s">
        <v>67</v>
      </c>
      <c r="R70" s="99"/>
      <c r="S70" s="99"/>
      <c r="T70" s="99"/>
      <c r="U70" s="99" t="s">
        <v>68</v>
      </c>
      <c r="V70" s="99"/>
      <c r="W70" s="99"/>
      <c r="X70" s="99"/>
      <c r="Y70" s="99" t="s">
        <v>69</v>
      </c>
      <c r="Z70" s="99"/>
      <c r="AA70" s="99"/>
      <c r="AB70" s="99"/>
      <c r="AC70" s="99" t="s">
        <v>70</v>
      </c>
      <c r="AD70" s="99"/>
      <c r="AE70" s="99"/>
      <c r="AF70" s="99"/>
      <c r="AG70" s="99" t="s">
        <v>71</v>
      </c>
      <c r="AH70" s="99"/>
      <c r="AI70" s="99"/>
      <c r="AJ70" s="99"/>
      <c r="AK70" s="99" t="s">
        <v>86</v>
      </c>
      <c r="AL70" s="99"/>
      <c r="AM70" s="99"/>
      <c r="AN70" s="99"/>
      <c r="AO70" s="99" t="s">
        <v>73</v>
      </c>
      <c r="AP70" s="99"/>
      <c r="AQ70" s="99"/>
      <c r="AR70" s="99"/>
      <c r="AS70" s="99" t="s">
        <v>74</v>
      </c>
      <c r="AT70" s="99"/>
      <c r="AU70" s="99"/>
      <c r="AV70" s="99"/>
      <c r="AW70" s="99" t="s">
        <v>75</v>
      </c>
      <c r="AX70" s="99"/>
      <c r="AY70" s="99"/>
      <c r="AZ70" s="99"/>
      <c r="BA70" s="91"/>
      <c r="BB70" s="130"/>
      <c r="BC70" s="130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  <c r="FT70" s="44"/>
      <c r="FU70" s="44"/>
      <c r="FV70" s="44"/>
      <c r="FW70" s="44"/>
      <c r="FX70" s="44"/>
      <c r="FY70" s="44"/>
      <c r="FZ70" s="44"/>
      <c r="GA70" s="44"/>
      <c r="GB70" s="44"/>
      <c r="GC70" s="44"/>
      <c r="GD70" s="44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44"/>
      <c r="GX70" s="44"/>
      <c r="GY70" s="44"/>
      <c r="GZ70" s="44"/>
      <c r="HA70" s="44"/>
      <c r="HB70" s="44"/>
      <c r="HC70" s="44"/>
      <c r="HD70" s="44"/>
      <c r="HE70" s="44"/>
      <c r="HF70" s="44"/>
      <c r="HG70" s="44"/>
      <c r="HH70" s="44"/>
      <c r="HI70" s="44"/>
      <c r="HJ70" s="44"/>
      <c r="HK70" s="44"/>
      <c r="HL70" s="44"/>
      <c r="HM70" s="44"/>
      <c r="HN70" s="44"/>
      <c r="HO70" s="44"/>
      <c r="HP70" s="44"/>
      <c r="HQ70" s="44"/>
      <c r="HR70" s="44"/>
      <c r="HS70" s="44"/>
      <c r="HT70" s="44"/>
      <c r="HU70" s="44"/>
      <c r="HV70" s="44"/>
      <c r="HW70" s="44"/>
      <c r="HX70" s="44"/>
      <c r="HY70" s="44"/>
      <c r="HZ70" s="44"/>
      <c r="IA70" s="44"/>
      <c r="IB70" s="44"/>
      <c r="IC70" s="44"/>
      <c r="ID70" s="44"/>
      <c r="IE70" s="44"/>
      <c r="IF70" s="44"/>
      <c r="IG70" s="44"/>
      <c r="IH70" s="44"/>
      <c r="II70" s="44"/>
      <c r="IJ70" s="44"/>
      <c r="IK70" s="44"/>
      <c r="IL70" s="44"/>
      <c r="IM70" s="44"/>
      <c r="IN70" s="44"/>
      <c r="IO70" s="44"/>
      <c r="IP70" s="44"/>
      <c r="IQ70" s="44"/>
      <c r="IR70" s="44"/>
      <c r="IS70" s="44"/>
      <c r="IT70" s="44"/>
      <c r="IU70" s="44"/>
      <c r="IV70" s="44"/>
    </row>
    <row r="71" spans="1:256" customFormat="1" ht="45" customHeight="1">
      <c r="A71" s="134"/>
      <c r="B71" s="135"/>
      <c r="C71" s="135"/>
      <c r="D71" s="136"/>
      <c r="E71" s="46" t="s">
        <v>25</v>
      </c>
      <c r="F71" s="46" t="s">
        <v>26</v>
      </c>
      <c r="G71" s="46" t="s">
        <v>27</v>
      </c>
      <c r="H71" s="46" t="s">
        <v>59</v>
      </c>
      <c r="I71" s="46" t="s">
        <v>25</v>
      </c>
      <c r="J71" s="46" t="s">
        <v>26</v>
      </c>
      <c r="K71" s="46" t="s">
        <v>27</v>
      </c>
      <c r="L71" s="46" t="s">
        <v>59</v>
      </c>
      <c r="M71" s="46" t="s">
        <v>25</v>
      </c>
      <c r="N71" s="46" t="s">
        <v>26</v>
      </c>
      <c r="O71" s="46" t="s">
        <v>27</v>
      </c>
      <c r="P71" s="46" t="s">
        <v>59</v>
      </c>
      <c r="Q71" s="46" t="s">
        <v>25</v>
      </c>
      <c r="R71" s="46" t="s">
        <v>26</v>
      </c>
      <c r="S71" s="46" t="s">
        <v>27</v>
      </c>
      <c r="T71" s="46" t="s">
        <v>59</v>
      </c>
      <c r="U71" s="46" t="s">
        <v>25</v>
      </c>
      <c r="V71" s="46" t="s">
        <v>26</v>
      </c>
      <c r="W71" s="46" t="s">
        <v>27</v>
      </c>
      <c r="X71" s="46" t="s">
        <v>59</v>
      </c>
      <c r="Y71" s="46" t="s">
        <v>25</v>
      </c>
      <c r="Z71" s="46" t="s">
        <v>26</v>
      </c>
      <c r="AA71" s="46" t="s">
        <v>27</v>
      </c>
      <c r="AB71" s="46" t="s">
        <v>59</v>
      </c>
      <c r="AC71" s="46" t="s">
        <v>25</v>
      </c>
      <c r="AD71" s="46" t="s">
        <v>26</v>
      </c>
      <c r="AE71" s="46" t="s">
        <v>27</v>
      </c>
      <c r="AF71" s="46" t="s">
        <v>59</v>
      </c>
      <c r="AG71" s="46" t="s">
        <v>25</v>
      </c>
      <c r="AH71" s="46" t="s">
        <v>26</v>
      </c>
      <c r="AI71" s="46" t="s">
        <v>27</v>
      </c>
      <c r="AJ71" s="46" t="s">
        <v>59</v>
      </c>
      <c r="AK71" s="46" t="s">
        <v>25</v>
      </c>
      <c r="AL71" s="46" t="s">
        <v>26</v>
      </c>
      <c r="AM71" s="46" t="s">
        <v>27</v>
      </c>
      <c r="AN71" s="46" t="s">
        <v>59</v>
      </c>
      <c r="AO71" s="46" t="s">
        <v>25</v>
      </c>
      <c r="AP71" s="46" t="s">
        <v>26</v>
      </c>
      <c r="AQ71" s="46" t="s">
        <v>27</v>
      </c>
      <c r="AR71" s="46" t="s">
        <v>59</v>
      </c>
      <c r="AS71" s="46" t="s">
        <v>25</v>
      </c>
      <c r="AT71" s="46" t="s">
        <v>26</v>
      </c>
      <c r="AU71" s="46" t="s">
        <v>27</v>
      </c>
      <c r="AV71" s="46" t="s">
        <v>59</v>
      </c>
      <c r="AW71" s="46" t="s">
        <v>25</v>
      </c>
      <c r="AX71" s="46" t="s">
        <v>26</v>
      </c>
      <c r="AY71" s="46" t="s">
        <v>27</v>
      </c>
      <c r="AZ71" s="46" t="s">
        <v>59</v>
      </c>
      <c r="BA71" s="91"/>
      <c r="BB71" s="130"/>
      <c r="BC71" s="130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44"/>
      <c r="GA71" s="44"/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44"/>
      <c r="HJ71" s="44"/>
      <c r="HK71" s="44"/>
      <c r="HL71" s="44"/>
      <c r="HM71" s="44"/>
      <c r="HN71" s="44"/>
      <c r="HO71" s="44"/>
      <c r="HP71" s="44"/>
      <c r="HQ71" s="44"/>
      <c r="HR71" s="44"/>
      <c r="HS71" s="44"/>
      <c r="HT71" s="44"/>
      <c r="HU71" s="44"/>
      <c r="HV71" s="44"/>
      <c r="HW71" s="44"/>
      <c r="HX71" s="44"/>
      <c r="HY71" s="44"/>
      <c r="HZ71" s="44"/>
      <c r="IA71" s="44"/>
      <c r="IB71" s="44"/>
      <c r="IC71" s="44"/>
      <c r="ID71" s="44"/>
      <c r="IE71" s="44"/>
      <c r="IF71" s="44"/>
      <c r="IG71" s="44"/>
      <c r="IH71" s="44"/>
      <c r="II71" s="44"/>
      <c r="IJ71" s="44"/>
      <c r="IK71" s="44"/>
      <c r="IL71" s="44"/>
      <c r="IM71" s="44"/>
      <c r="IN71" s="44"/>
      <c r="IO71" s="44"/>
      <c r="IP71" s="44"/>
      <c r="IQ71" s="44"/>
      <c r="IR71" s="44"/>
      <c r="IS71" s="44"/>
      <c r="IT71" s="44"/>
      <c r="IU71" s="44"/>
      <c r="IV71" s="44"/>
    </row>
    <row r="72" spans="1:256" customFormat="1" ht="30.75" customHeight="1">
      <c r="A72" s="137"/>
      <c r="B72" s="138"/>
      <c r="C72" s="138"/>
      <c r="D72" s="139"/>
      <c r="E72" s="65">
        <f>E10+E17+E24+E31+E38+E45+E52+E59+E66</f>
        <v>0.86799999999999999</v>
      </c>
      <c r="F72" s="65">
        <f t="shared" ref="F72:AZ72" si="1">F10+F17+F24+F31+F38+F45+F52+F59+F66</f>
        <v>1.0740000000000001</v>
      </c>
      <c r="G72" s="65">
        <f t="shared" si="1"/>
        <v>7.120000000000001</v>
      </c>
      <c r="H72" s="65">
        <f t="shared" si="1"/>
        <v>9.0620000000000012</v>
      </c>
      <c r="I72" s="65">
        <f t="shared" si="1"/>
        <v>0.94400000000000006</v>
      </c>
      <c r="J72" s="65">
        <f t="shared" si="1"/>
        <v>1.171</v>
      </c>
      <c r="K72" s="65">
        <f t="shared" si="1"/>
        <v>7.452</v>
      </c>
      <c r="L72" s="65">
        <f t="shared" si="1"/>
        <v>9.5670000000000019</v>
      </c>
      <c r="M72" s="65">
        <f t="shared" si="1"/>
        <v>0.95</v>
      </c>
      <c r="N72" s="65">
        <f t="shared" si="1"/>
        <v>1.171</v>
      </c>
      <c r="O72" s="65">
        <f t="shared" si="1"/>
        <v>7.7960000000000003</v>
      </c>
      <c r="P72" s="65">
        <f t="shared" si="1"/>
        <v>9.9169999999999998</v>
      </c>
      <c r="Q72" s="65">
        <f t="shared" si="1"/>
        <v>0.96400000000000008</v>
      </c>
      <c r="R72" s="65">
        <f t="shared" si="1"/>
        <v>1.1970000000000001</v>
      </c>
      <c r="S72" s="65">
        <f t="shared" si="1"/>
        <v>8.1300000000000008</v>
      </c>
      <c r="T72" s="65">
        <f t="shared" si="1"/>
        <v>10.291</v>
      </c>
      <c r="U72" s="65">
        <f t="shared" si="1"/>
        <v>0.97400000000000009</v>
      </c>
      <c r="V72" s="65">
        <f t="shared" si="1"/>
        <v>1.1819999999999999</v>
      </c>
      <c r="W72" s="65">
        <f t="shared" si="1"/>
        <v>8.3180000000000014</v>
      </c>
      <c r="X72" s="65">
        <f t="shared" si="1"/>
        <v>10.474</v>
      </c>
      <c r="Y72" s="65">
        <f t="shared" si="1"/>
        <v>0.37086599999999997</v>
      </c>
      <c r="Z72" s="65">
        <f t="shared" si="1"/>
        <v>0.73250000000000015</v>
      </c>
      <c r="AA72" s="65">
        <f t="shared" si="1"/>
        <v>4.9096679999999999</v>
      </c>
      <c r="AB72" s="65">
        <f t="shared" si="1"/>
        <v>6.0130339999999993</v>
      </c>
      <c r="AC72" s="65">
        <f t="shared" si="1"/>
        <v>0.46892299999999998</v>
      </c>
      <c r="AD72" s="65">
        <f t="shared" si="1"/>
        <v>0.83541899999999991</v>
      </c>
      <c r="AE72" s="65">
        <f t="shared" si="1"/>
        <v>4.4835510000000003</v>
      </c>
      <c r="AF72" s="65">
        <f t="shared" si="1"/>
        <v>5.7878929999999995</v>
      </c>
      <c r="AG72" s="65">
        <f t="shared" si="1"/>
        <v>0.47096700000000002</v>
      </c>
      <c r="AH72" s="65">
        <f t="shared" si="1"/>
        <v>0.82106500000000016</v>
      </c>
      <c r="AI72" s="65">
        <f t="shared" si="1"/>
        <v>4.6153269999999997</v>
      </c>
      <c r="AJ72" s="65">
        <f t="shared" si="1"/>
        <v>5.9073589999999987</v>
      </c>
      <c r="AK72" s="65">
        <f t="shared" si="1"/>
        <v>0.58986899999999998</v>
      </c>
      <c r="AL72" s="65">
        <f t="shared" si="1"/>
        <v>1.1215670000000002</v>
      </c>
      <c r="AM72" s="65">
        <f t="shared" si="1"/>
        <v>6.5104019999999991</v>
      </c>
      <c r="AN72" s="65">
        <f t="shared" si="1"/>
        <v>8.221838</v>
      </c>
      <c r="AO72" s="65">
        <f t="shared" si="1"/>
        <v>0.62483999999999995</v>
      </c>
      <c r="AP72" s="65">
        <f t="shared" si="1"/>
        <v>1.2500339999999999</v>
      </c>
      <c r="AQ72" s="65">
        <f t="shared" si="1"/>
        <v>7.4117470000000001</v>
      </c>
      <c r="AR72" s="65">
        <f t="shared" si="1"/>
        <v>9.2866210000000002</v>
      </c>
      <c r="AS72" s="65">
        <f t="shared" si="1"/>
        <v>0.62433399999999994</v>
      </c>
      <c r="AT72" s="65">
        <f t="shared" si="1"/>
        <v>1.2562</v>
      </c>
      <c r="AU72" s="65">
        <f t="shared" si="1"/>
        <v>7.5923239999999996</v>
      </c>
      <c r="AV72" s="65">
        <f t="shared" si="1"/>
        <v>9.4728580000000004</v>
      </c>
      <c r="AW72" s="65">
        <f t="shared" si="1"/>
        <v>0.66703000000000001</v>
      </c>
      <c r="AX72" s="65">
        <f t="shared" si="1"/>
        <v>1.2571589999999999</v>
      </c>
      <c r="AY72" s="65">
        <f t="shared" si="1"/>
        <v>7.8089110000000002</v>
      </c>
      <c r="AZ72" s="65">
        <f t="shared" si="1"/>
        <v>9.7331000000000003</v>
      </c>
      <c r="BA72" s="92"/>
      <c r="BB72" s="130"/>
      <c r="BC72" s="130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  <c r="FW72" s="44"/>
      <c r="FX72" s="44"/>
      <c r="FY72" s="44"/>
      <c r="FZ72" s="44"/>
      <c r="GA72" s="44"/>
      <c r="GB72" s="44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44"/>
      <c r="GX72" s="44"/>
      <c r="GY72" s="44"/>
      <c r="GZ72" s="44"/>
      <c r="HA72" s="44"/>
      <c r="HB72" s="44"/>
      <c r="HC72" s="44"/>
      <c r="HD72" s="44"/>
      <c r="HE72" s="44"/>
      <c r="HF72" s="44"/>
      <c r="HG72" s="44"/>
      <c r="HH72" s="44"/>
      <c r="HI72" s="44"/>
      <c r="HJ72" s="44"/>
      <c r="HK72" s="44"/>
      <c r="HL72" s="44"/>
      <c r="HM72" s="44"/>
      <c r="HN72" s="44"/>
      <c r="HO72" s="44"/>
      <c r="HP72" s="44"/>
      <c r="HQ72" s="44"/>
      <c r="HR72" s="44"/>
      <c r="HS72" s="44"/>
      <c r="HT72" s="44"/>
      <c r="HU72" s="44"/>
      <c r="HV72" s="44"/>
      <c r="HW72" s="44"/>
      <c r="HX72" s="44"/>
      <c r="HY72" s="44"/>
      <c r="HZ72" s="44"/>
      <c r="IA72" s="44"/>
      <c r="IB72" s="44"/>
      <c r="IC72" s="44"/>
      <c r="ID72" s="44"/>
      <c r="IE72" s="44"/>
      <c r="IF72" s="44"/>
      <c r="IG72" s="44"/>
      <c r="IH72" s="44"/>
      <c r="II72" s="44"/>
      <c r="IJ72" s="44"/>
      <c r="IK72" s="44"/>
      <c r="IL72" s="44"/>
      <c r="IM72" s="44"/>
      <c r="IN72" s="44"/>
      <c r="IO72" s="44"/>
      <c r="IP72" s="44"/>
      <c r="IQ72" s="44"/>
      <c r="IR72" s="44"/>
      <c r="IS72" s="44"/>
      <c r="IT72" s="44"/>
      <c r="IU72" s="44"/>
      <c r="IV72" s="44"/>
    </row>
  </sheetData>
  <mergeCells count="779">
    <mergeCell ref="A67:D72"/>
    <mergeCell ref="AW68:AW69"/>
    <mergeCell ref="AX68:AX69"/>
    <mergeCell ref="AY68:AY69"/>
    <mergeCell ref="AZ68:AZ69"/>
    <mergeCell ref="E70:H70"/>
    <mergeCell ref="I70:L70"/>
    <mergeCell ref="M70:P70"/>
    <mergeCell ref="Q70:T70"/>
    <mergeCell ref="U70:X70"/>
    <mergeCell ref="Y70:AB70"/>
    <mergeCell ref="AC70:AF70"/>
    <mergeCell ref="AG70:AJ70"/>
    <mergeCell ref="AK70:AN70"/>
    <mergeCell ref="AO70:AR70"/>
    <mergeCell ref="AS70:AV70"/>
    <mergeCell ref="AW70:AZ70"/>
    <mergeCell ref="AR68:AR69"/>
    <mergeCell ref="AS68:AS69"/>
    <mergeCell ref="AT68:AT69"/>
    <mergeCell ref="AU68:AU69"/>
    <mergeCell ref="AV68:AV69"/>
    <mergeCell ref="AM68:AM69"/>
    <mergeCell ref="AN68:AN69"/>
    <mergeCell ref="AO68:AO69"/>
    <mergeCell ref="AP68:AP69"/>
    <mergeCell ref="AQ68:AQ69"/>
    <mergeCell ref="AH68:AH69"/>
    <mergeCell ref="AI68:AI69"/>
    <mergeCell ref="AJ68:AJ69"/>
    <mergeCell ref="AK68:AK69"/>
    <mergeCell ref="AL68:AL69"/>
    <mergeCell ref="AC68:AC69"/>
    <mergeCell ref="AD68:AD69"/>
    <mergeCell ref="AE68:AE69"/>
    <mergeCell ref="AF68:AF69"/>
    <mergeCell ref="AG68:AG69"/>
    <mergeCell ref="BC67:BC72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BA67:BA72"/>
    <mergeCell ref="BB67:BB72"/>
    <mergeCell ref="R68:R69"/>
    <mergeCell ref="S68:S69"/>
    <mergeCell ref="T68:T69"/>
    <mergeCell ref="U68:U69"/>
    <mergeCell ref="V68:V69"/>
    <mergeCell ref="W68:W69"/>
    <mergeCell ref="X68:X69"/>
    <mergeCell ref="Y68:Y69"/>
    <mergeCell ref="Z68:Z69"/>
    <mergeCell ref="AA68:AA69"/>
    <mergeCell ref="AB68:AB69"/>
    <mergeCell ref="AW62:AW63"/>
    <mergeCell ref="AX62:AX63"/>
    <mergeCell ref="AY62:AY63"/>
    <mergeCell ref="AZ62:AZ63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  <mergeCell ref="AR62:AR63"/>
    <mergeCell ref="AS62:AS63"/>
    <mergeCell ref="AT62:AT63"/>
    <mergeCell ref="AU62:AU63"/>
    <mergeCell ref="AV62:AV63"/>
    <mergeCell ref="AM62:AM63"/>
    <mergeCell ref="AN62:AN63"/>
    <mergeCell ref="AO62:AO63"/>
    <mergeCell ref="AP62:AP63"/>
    <mergeCell ref="AQ62:AQ63"/>
    <mergeCell ref="AH62:AH63"/>
    <mergeCell ref="AI62:AI63"/>
    <mergeCell ref="AJ62:AJ63"/>
    <mergeCell ref="AK62:AK63"/>
    <mergeCell ref="AL62:AL63"/>
    <mergeCell ref="Q62:Q63"/>
    <mergeCell ref="R62:R63"/>
    <mergeCell ref="AC62:AC63"/>
    <mergeCell ref="AD62:AD63"/>
    <mergeCell ref="AE62:AE63"/>
    <mergeCell ref="AF62:AF63"/>
    <mergeCell ref="AG62:AG63"/>
    <mergeCell ref="X62:X63"/>
    <mergeCell ref="Y62:Y63"/>
    <mergeCell ref="Z62:Z63"/>
    <mergeCell ref="AA62:AA63"/>
    <mergeCell ref="AB62:AB63"/>
    <mergeCell ref="A61:A66"/>
    <mergeCell ref="B61:B66"/>
    <mergeCell ref="BA61:BA66"/>
    <mergeCell ref="BB61:BB66"/>
    <mergeCell ref="BC61:BC66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S62:S63"/>
    <mergeCell ref="T62:T63"/>
    <mergeCell ref="U62:U63"/>
    <mergeCell ref="V62:V63"/>
    <mergeCell ref="W62:W63"/>
    <mergeCell ref="N62:N63"/>
    <mergeCell ref="O62:O63"/>
    <mergeCell ref="P62:P63"/>
    <mergeCell ref="AO60:AR60"/>
    <mergeCell ref="AS60:AV60"/>
    <mergeCell ref="AW60:AZ60"/>
    <mergeCell ref="Y57:AB57"/>
    <mergeCell ref="AC57:AF57"/>
    <mergeCell ref="AG57:AJ57"/>
    <mergeCell ref="AK57:AN57"/>
    <mergeCell ref="AO57:AR57"/>
    <mergeCell ref="E57:H57"/>
    <mergeCell ref="I57:L57"/>
    <mergeCell ref="M57:P57"/>
    <mergeCell ref="Q57:T57"/>
    <mergeCell ref="U57:X57"/>
    <mergeCell ref="E60:H60"/>
    <mergeCell ref="I60:L60"/>
    <mergeCell ref="M60:P60"/>
    <mergeCell ref="Q60:T60"/>
    <mergeCell ref="U60:X60"/>
    <mergeCell ref="Y60:AB60"/>
    <mergeCell ref="AC60:AF60"/>
    <mergeCell ref="AG60:AJ60"/>
    <mergeCell ref="AK60:AN60"/>
    <mergeCell ref="AX55:AX56"/>
    <mergeCell ref="AY55:AY56"/>
    <mergeCell ref="AZ55:AZ56"/>
    <mergeCell ref="AQ55:AQ56"/>
    <mergeCell ref="AR55:AR56"/>
    <mergeCell ref="AS55:AS56"/>
    <mergeCell ref="AT55:AT56"/>
    <mergeCell ref="AU55:AU56"/>
    <mergeCell ref="AS57:AV57"/>
    <mergeCell ref="AW57:AZ57"/>
    <mergeCell ref="AO55:AO56"/>
    <mergeCell ref="AP55:AP56"/>
    <mergeCell ref="AG55:AG56"/>
    <mergeCell ref="AH55:AH56"/>
    <mergeCell ref="AI55:AI56"/>
    <mergeCell ref="AJ55:AJ56"/>
    <mergeCell ref="AK55:AK56"/>
    <mergeCell ref="AV55:AV56"/>
    <mergeCell ref="AW55:AW56"/>
    <mergeCell ref="AB55:AB56"/>
    <mergeCell ref="AC55:AC56"/>
    <mergeCell ref="AD55:AD56"/>
    <mergeCell ref="AE55:AE56"/>
    <mergeCell ref="AF55:AF56"/>
    <mergeCell ref="BB54:BB59"/>
    <mergeCell ref="BC54:BC59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AL55:AL56"/>
    <mergeCell ref="AM55:AM56"/>
    <mergeCell ref="AN55:AN56"/>
    <mergeCell ref="AS53:AV53"/>
    <mergeCell ref="AW53:AZ53"/>
    <mergeCell ref="A54:A59"/>
    <mergeCell ref="B54:B59"/>
    <mergeCell ref="BA54:BA59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Y53:AB53"/>
    <mergeCell ref="AC53:AF53"/>
    <mergeCell ref="AG53:AJ53"/>
    <mergeCell ref="AK53:AN53"/>
    <mergeCell ref="AO53:AR53"/>
    <mergeCell ref="E53:H53"/>
    <mergeCell ref="I53:L53"/>
    <mergeCell ref="M53:P53"/>
    <mergeCell ref="Q53:T53"/>
    <mergeCell ref="U53:X53"/>
    <mergeCell ref="AW48:AW49"/>
    <mergeCell ref="AX48:AX49"/>
    <mergeCell ref="AY48:AY49"/>
    <mergeCell ref="AZ48:AZ49"/>
    <mergeCell ref="E50:H50"/>
    <mergeCell ref="I50:L50"/>
    <mergeCell ref="M50:P50"/>
    <mergeCell ref="Q50:T50"/>
    <mergeCell ref="U50:X50"/>
    <mergeCell ref="Y50:AB50"/>
    <mergeCell ref="AC50:AF50"/>
    <mergeCell ref="AG50:AJ50"/>
    <mergeCell ref="AK50:AN50"/>
    <mergeCell ref="AO50:AR50"/>
    <mergeCell ref="AS50:AV50"/>
    <mergeCell ref="AW50:AZ50"/>
    <mergeCell ref="AR48:AR49"/>
    <mergeCell ref="AS48:AS49"/>
    <mergeCell ref="AT48:AT49"/>
    <mergeCell ref="AU48:AU49"/>
    <mergeCell ref="AV48:AV49"/>
    <mergeCell ref="AM48:AM49"/>
    <mergeCell ref="AN48:AN49"/>
    <mergeCell ref="AO48:AO49"/>
    <mergeCell ref="AP48:AP49"/>
    <mergeCell ref="AQ48:AQ49"/>
    <mergeCell ref="AH48:AH49"/>
    <mergeCell ref="AI48:AI49"/>
    <mergeCell ref="AJ48:AJ49"/>
    <mergeCell ref="AK48:AK49"/>
    <mergeCell ref="AL48:AL49"/>
    <mergeCell ref="Q48:Q49"/>
    <mergeCell ref="R48:R49"/>
    <mergeCell ref="AC48:AC49"/>
    <mergeCell ref="AD48:AD49"/>
    <mergeCell ref="AE48:AE49"/>
    <mergeCell ref="AF48:AF49"/>
    <mergeCell ref="AG48:AG49"/>
    <mergeCell ref="X48:X49"/>
    <mergeCell ref="Y48:Y49"/>
    <mergeCell ref="Z48:Z49"/>
    <mergeCell ref="AA48:AA49"/>
    <mergeCell ref="AB48:AB49"/>
    <mergeCell ref="A47:A52"/>
    <mergeCell ref="B47:B52"/>
    <mergeCell ref="BA47:BA52"/>
    <mergeCell ref="BB47:BB52"/>
    <mergeCell ref="BC47:BC52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S48:S49"/>
    <mergeCell ref="T48:T49"/>
    <mergeCell ref="U48:U49"/>
    <mergeCell ref="V48:V49"/>
    <mergeCell ref="W48:W49"/>
    <mergeCell ref="N48:N49"/>
    <mergeCell ref="O48:O49"/>
    <mergeCell ref="P48:P49"/>
    <mergeCell ref="AO46:AR46"/>
    <mergeCell ref="AS46:AV46"/>
    <mergeCell ref="AW46:AZ46"/>
    <mergeCell ref="Y43:AB43"/>
    <mergeCell ref="AC43:AF43"/>
    <mergeCell ref="AG43:AJ43"/>
    <mergeCell ref="AK43:AN43"/>
    <mergeCell ref="AO43:AR43"/>
    <mergeCell ref="E43:H43"/>
    <mergeCell ref="I43:L43"/>
    <mergeCell ref="M43:P43"/>
    <mergeCell ref="Q43:T43"/>
    <mergeCell ref="U43:X43"/>
    <mergeCell ref="E46:H46"/>
    <mergeCell ref="I46:L46"/>
    <mergeCell ref="M46:P46"/>
    <mergeCell ref="Q46:T46"/>
    <mergeCell ref="U46:X46"/>
    <mergeCell ref="Y46:AB46"/>
    <mergeCell ref="AC46:AF46"/>
    <mergeCell ref="AG46:AJ46"/>
    <mergeCell ref="AK46:AN46"/>
    <mergeCell ref="AX41:AX42"/>
    <mergeCell ref="AY41:AY42"/>
    <mergeCell ref="AZ41:AZ42"/>
    <mergeCell ref="AQ41:AQ42"/>
    <mergeCell ref="AR41:AR42"/>
    <mergeCell ref="AS41:AS42"/>
    <mergeCell ref="AT41:AT42"/>
    <mergeCell ref="AU41:AU42"/>
    <mergeCell ref="AS43:AV43"/>
    <mergeCell ref="AW43:AZ43"/>
    <mergeCell ref="AO41:AO42"/>
    <mergeCell ref="AP41:AP42"/>
    <mergeCell ref="AG41:AG42"/>
    <mergeCell ref="AH41:AH42"/>
    <mergeCell ref="AI41:AI42"/>
    <mergeCell ref="AJ41:AJ42"/>
    <mergeCell ref="AK41:AK42"/>
    <mergeCell ref="AV41:AV42"/>
    <mergeCell ref="AW41:AW42"/>
    <mergeCell ref="AB41:AB42"/>
    <mergeCell ref="AC41:AC42"/>
    <mergeCell ref="AD41:AD42"/>
    <mergeCell ref="AE41:AE42"/>
    <mergeCell ref="AF41:AF42"/>
    <mergeCell ref="BB40:BB45"/>
    <mergeCell ref="BC40:BC45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AL41:AL42"/>
    <mergeCell ref="AM41:AM42"/>
    <mergeCell ref="AN41:AN42"/>
    <mergeCell ref="AS39:AV39"/>
    <mergeCell ref="AW39:AZ39"/>
    <mergeCell ref="A40:A45"/>
    <mergeCell ref="B40:B45"/>
    <mergeCell ref="BA40:BA45"/>
    <mergeCell ref="Q41:Q42"/>
    <mergeCell ref="R41:R42"/>
    <mergeCell ref="S41:S42"/>
    <mergeCell ref="T41:T42"/>
    <mergeCell ref="U41:U42"/>
    <mergeCell ref="V41:V42"/>
    <mergeCell ref="W41:W42"/>
    <mergeCell ref="X41:X42"/>
    <mergeCell ref="Y41:Y42"/>
    <mergeCell ref="Z41:Z42"/>
    <mergeCell ref="AA41:AA42"/>
    <mergeCell ref="Y39:AB39"/>
    <mergeCell ref="AC39:AF39"/>
    <mergeCell ref="AG39:AJ39"/>
    <mergeCell ref="AK39:AN39"/>
    <mergeCell ref="AO39:AR39"/>
    <mergeCell ref="E39:H39"/>
    <mergeCell ref="I39:L39"/>
    <mergeCell ref="M39:P39"/>
    <mergeCell ref="Q39:T39"/>
    <mergeCell ref="U39:X39"/>
    <mergeCell ref="AW34:AW35"/>
    <mergeCell ref="AX34:AX35"/>
    <mergeCell ref="AY34:AY35"/>
    <mergeCell ref="AZ34:AZ35"/>
    <mergeCell ref="E36:H36"/>
    <mergeCell ref="I36:L36"/>
    <mergeCell ref="M36:P36"/>
    <mergeCell ref="Q36:T36"/>
    <mergeCell ref="U36:X36"/>
    <mergeCell ref="Y36:AB36"/>
    <mergeCell ref="AC36:AF36"/>
    <mergeCell ref="AG36:AJ36"/>
    <mergeCell ref="AK36:AN36"/>
    <mergeCell ref="AO36:AR36"/>
    <mergeCell ref="AS36:AV36"/>
    <mergeCell ref="AW36:AZ36"/>
    <mergeCell ref="AR34:AR35"/>
    <mergeCell ref="AS34:AS35"/>
    <mergeCell ref="AT34:AT35"/>
    <mergeCell ref="AU34:AU35"/>
    <mergeCell ref="AV34:AV35"/>
    <mergeCell ref="AM34:AM35"/>
    <mergeCell ref="AN34:AN35"/>
    <mergeCell ref="AO34:AO35"/>
    <mergeCell ref="AP34:AP35"/>
    <mergeCell ref="AQ34:AQ35"/>
    <mergeCell ref="AH34:AH35"/>
    <mergeCell ref="AI34:AI35"/>
    <mergeCell ref="AJ34:AJ35"/>
    <mergeCell ref="AK34:AK35"/>
    <mergeCell ref="AL34:AL35"/>
    <mergeCell ref="Q34:Q35"/>
    <mergeCell ref="R34:R35"/>
    <mergeCell ref="AC34:AC35"/>
    <mergeCell ref="AD34:AD35"/>
    <mergeCell ref="AE34:AE35"/>
    <mergeCell ref="AF34:AF35"/>
    <mergeCell ref="AG34:AG35"/>
    <mergeCell ref="X34:X35"/>
    <mergeCell ref="Y34:Y35"/>
    <mergeCell ref="Z34:Z35"/>
    <mergeCell ref="AA34:AA35"/>
    <mergeCell ref="AB34:AB35"/>
    <mergeCell ref="A33:A38"/>
    <mergeCell ref="B33:B38"/>
    <mergeCell ref="BA33:BA38"/>
    <mergeCell ref="BB33:BB38"/>
    <mergeCell ref="BC33:BC38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S34:S35"/>
    <mergeCell ref="T34:T35"/>
    <mergeCell ref="U34:U35"/>
    <mergeCell ref="V34:V35"/>
    <mergeCell ref="W34:W35"/>
    <mergeCell ref="N34:N35"/>
    <mergeCell ref="O34:O35"/>
    <mergeCell ref="P34:P35"/>
    <mergeCell ref="AO32:AR32"/>
    <mergeCell ref="AS32:AV32"/>
    <mergeCell ref="AW32:AZ32"/>
    <mergeCell ref="Y29:AB29"/>
    <mergeCell ref="AC29:AF29"/>
    <mergeCell ref="AG29:AJ29"/>
    <mergeCell ref="AK29:AN29"/>
    <mergeCell ref="AO29:AR29"/>
    <mergeCell ref="E29:H29"/>
    <mergeCell ref="I29:L29"/>
    <mergeCell ref="M29:P29"/>
    <mergeCell ref="Q29:T29"/>
    <mergeCell ref="U29:X29"/>
    <mergeCell ref="E32:H32"/>
    <mergeCell ref="I32:L32"/>
    <mergeCell ref="M32:P32"/>
    <mergeCell ref="Q32:T32"/>
    <mergeCell ref="U32:X32"/>
    <mergeCell ref="Y32:AB32"/>
    <mergeCell ref="AC32:AF32"/>
    <mergeCell ref="AG32:AJ32"/>
    <mergeCell ref="AK32:AN32"/>
    <mergeCell ref="AX27:AX28"/>
    <mergeCell ref="AY27:AY28"/>
    <mergeCell ref="AZ27:AZ28"/>
    <mergeCell ref="AQ27:AQ28"/>
    <mergeCell ref="AR27:AR28"/>
    <mergeCell ref="AS27:AS28"/>
    <mergeCell ref="AT27:AT28"/>
    <mergeCell ref="AU27:AU28"/>
    <mergeCell ref="AS29:AV29"/>
    <mergeCell ref="AW29:AZ29"/>
    <mergeCell ref="AO27:AO28"/>
    <mergeCell ref="AP27:AP28"/>
    <mergeCell ref="AG27:AG28"/>
    <mergeCell ref="AH27:AH28"/>
    <mergeCell ref="AI27:AI28"/>
    <mergeCell ref="AJ27:AJ28"/>
    <mergeCell ref="AK27:AK28"/>
    <mergeCell ref="AV27:AV28"/>
    <mergeCell ref="AW27:AW28"/>
    <mergeCell ref="AB27:AB28"/>
    <mergeCell ref="AC27:AC28"/>
    <mergeCell ref="AD27:AD28"/>
    <mergeCell ref="AE27:AE28"/>
    <mergeCell ref="AF27:AF28"/>
    <mergeCell ref="BB26:BB31"/>
    <mergeCell ref="BC26:BC31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AL27:AL28"/>
    <mergeCell ref="AM27:AM28"/>
    <mergeCell ref="AN27:AN28"/>
    <mergeCell ref="AS25:AV25"/>
    <mergeCell ref="AW25:AZ25"/>
    <mergeCell ref="A26:A31"/>
    <mergeCell ref="B26:B31"/>
    <mergeCell ref="BA26:BA31"/>
    <mergeCell ref="Q27:Q28"/>
    <mergeCell ref="R27:R28"/>
    <mergeCell ref="S27:S28"/>
    <mergeCell ref="T27:T28"/>
    <mergeCell ref="U27:U28"/>
    <mergeCell ref="V27:V28"/>
    <mergeCell ref="W27:W28"/>
    <mergeCell ref="X27:X28"/>
    <mergeCell ref="Y27:Y28"/>
    <mergeCell ref="Z27:Z28"/>
    <mergeCell ref="AA27:AA28"/>
    <mergeCell ref="Y25:AB25"/>
    <mergeCell ref="AC25:AF25"/>
    <mergeCell ref="AG25:AJ25"/>
    <mergeCell ref="AK25:AN25"/>
    <mergeCell ref="AO25:AR25"/>
    <mergeCell ref="E25:H25"/>
    <mergeCell ref="I25:L25"/>
    <mergeCell ref="M25:P25"/>
    <mergeCell ref="Q25:T25"/>
    <mergeCell ref="U25:X25"/>
    <mergeCell ref="AW20:AW21"/>
    <mergeCell ref="AX20:AX21"/>
    <mergeCell ref="AY20:AY21"/>
    <mergeCell ref="AZ20:AZ21"/>
    <mergeCell ref="E22:H22"/>
    <mergeCell ref="I22:L22"/>
    <mergeCell ref="M22:P22"/>
    <mergeCell ref="Q22:T22"/>
    <mergeCell ref="U22:X22"/>
    <mergeCell ref="Y22:AB22"/>
    <mergeCell ref="AC22:AF22"/>
    <mergeCell ref="AG22:AJ22"/>
    <mergeCell ref="AK22:AN22"/>
    <mergeCell ref="AO22:AR22"/>
    <mergeCell ref="AS22:AV22"/>
    <mergeCell ref="AW22:AZ22"/>
    <mergeCell ref="AR20:AR21"/>
    <mergeCell ref="AS20:AS21"/>
    <mergeCell ref="AT20:AT21"/>
    <mergeCell ref="AU20:AU21"/>
    <mergeCell ref="AV20:AV21"/>
    <mergeCell ref="AM20:AM21"/>
    <mergeCell ref="AN20:AN21"/>
    <mergeCell ref="AO20:AO21"/>
    <mergeCell ref="AP20:AP21"/>
    <mergeCell ref="AQ20:AQ21"/>
    <mergeCell ref="AH20:AH21"/>
    <mergeCell ref="AI20:AI21"/>
    <mergeCell ref="AJ20:AJ21"/>
    <mergeCell ref="AK20:AK21"/>
    <mergeCell ref="AL20:AL21"/>
    <mergeCell ref="Q20:Q21"/>
    <mergeCell ref="R20:R21"/>
    <mergeCell ref="AC20:AC21"/>
    <mergeCell ref="AD20:AD21"/>
    <mergeCell ref="AE20:AE21"/>
    <mergeCell ref="AF20:AF21"/>
    <mergeCell ref="AG20:AG21"/>
    <mergeCell ref="X20:X21"/>
    <mergeCell ref="Y20:Y21"/>
    <mergeCell ref="Z20:Z21"/>
    <mergeCell ref="AA20:AA21"/>
    <mergeCell ref="AB20:AB21"/>
    <mergeCell ref="A19:A24"/>
    <mergeCell ref="B19:B24"/>
    <mergeCell ref="BA19:BA24"/>
    <mergeCell ref="BB19:BB24"/>
    <mergeCell ref="BC19:BC24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S20:S21"/>
    <mergeCell ref="T20:T21"/>
    <mergeCell ref="U20:U21"/>
    <mergeCell ref="V20:V21"/>
    <mergeCell ref="W20:W21"/>
    <mergeCell ref="N20:N21"/>
    <mergeCell ref="O20:O21"/>
    <mergeCell ref="P20:P21"/>
    <mergeCell ref="AO18:AR18"/>
    <mergeCell ref="AS18:AV18"/>
    <mergeCell ref="AW18:AZ18"/>
    <mergeCell ref="Y15:AB15"/>
    <mergeCell ref="AC15:AF15"/>
    <mergeCell ref="AG15:AJ15"/>
    <mergeCell ref="AK15:AN15"/>
    <mergeCell ref="AO15:AR15"/>
    <mergeCell ref="E15:H15"/>
    <mergeCell ref="I15:L15"/>
    <mergeCell ref="M15:P15"/>
    <mergeCell ref="Q15:T15"/>
    <mergeCell ref="U15:X15"/>
    <mergeCell ref="E18:H18"/>
    <mergeCell ref="I18:L18"/>
    <mergeCell ref="M18:P18"/>
    <mergeCell ref="Q18:T18"/>
    <mergeCell ref="U18:X18"/>
    <mergeCell ref="Y18:AB18"/>
    <mergeCell ref="AC18:AF18"/>
    <mergeCell ref="AG18:AJ18"/>
    <mergeCell ref="AK18:AN18"/>
    <mergeCell ref="AX13:AX14"/>
    <mergeCell ref="AY13:AY14"/>
    <mergeCell ref="AZ13:AZ14"/>
    <mergeCell ref="AQ13:AQ14"/>
    <mergeCell ref="AR13:AR14"/>
    <mergeCell ref="AS13:AS14"/>
    <mergeCell ref="AT13:AT14"/>
    <mergeCell ref="AU13:AU14"/>
    <mergeCell ref="AS15:AV15"/>
    <mergeCell ref="AW15:AZ15"/>
    <mergeCell ref="AO13:AO14"/>
    <mergeCell ref="AP13:AP14"/>
    <mergeCell ref="AG13:AG14"/>
    <mergeCell ref="AH13:AH14"/>
    <mergeCell ref="AI13:AI14"/>
    <mergeCell ref="AJ13:AJ14"/>
    <mergeCell ref="AK13:AK14"/>
    <mergeCell ref="AV13:AV14"/>
    <mergeCell ref="AW13:AW14"/>
    <mergeCell ref="AB13:AB14"/>
    <mergeCell ref="AC13:AC14"/>
    <mergeCell ref="AD13:AD14"/>
    <mergeCell ref="AE13:AE14"/>
    <mergeCell ref="AF13:AF14"/>
    <mergeCell ref="BB12:BB17"/>
    <mergeCell ref="BC12:BC17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AL13:AL14"/>
    <mergeCell ref="AM13:AM14"/>
    <mergeCell ref="AN13:AN14"/>
    <mergeCell ref="AS11:AV11"/>
    <mergeCell ref="AW11:AZ11"/>
    <mergeCell ref="A12:A17"/>
    <mergeCell ref="B12:B17"/>
    <mergeCell ref="BA12:BA17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Y11:AB11"/>
    <mergeCell ref="AC11:AF11"/>
    <mergeCell ref="AG11:AJ11"/>
    <mergeCell ref="AK11:AN11"/>
    <mergeCell ref="AO11:AR11"/>
    <mergeCell ref="E11:H11"/>
    <mergeCell ref="I11:L11"/>
    <mergeCell ref="M11:P11"/>
    <mergeCell ref="Q11:T11"/>
    <mergeCell ref="U11:X11"/>
    <mergeCell ref="AW4:AZ4"/>
    <mergeCell ref="A1:B1"/>
    <mergeCell ref="A2:BC2"/>
    <mergeCell ref="AD3:AL3"/>
    <mergeCell ref="AR3:AY3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  <mergeCell ref="A5:A10"/>
    <mergeCell ref="B5:B10"/>
    <mergeCell ref="BA5:BA10"/>
    <mergeCell ref="BB5:BB10"/>
    <mergeCell ref="BC5:BC10"/>
    <mergeCell ref="C6:C7"/>
    <mergeCell ref="D6:D7"/>
    <mergeCell ref="E6:E7"/>
    <mergeCell ref="F6:F7"/>
    <mergeCell ref="G6:G7"/>
    <mergeCell ref="S6:S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E6:AE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X6:AX7"/>
    <mergeCell ref="AY6:AY7"/>
    <mergeCell ref="AZ6:AZ7"/>
    <mergeCell ref="E8:H8"/>
    <mergeCell ref="I8:L8"/>
    <mergeCell ref="M8:P8"/>
    <mergeCell ref="Q8:T8"/>
    <mergeCell ref="U8:X8"/>
    <mergeCell ref="Y8:AB8"/>
    <mergeCell ref="AC8:AF8"/>
    <mergeCell ref="AR6:AR7"/>
    <mergeCell ref="AS6:AS7"/>
    <mergeCell ref="AT6:AT7"/>
    <mergeCell ref="AU6:AU7"/>
    <mergeCell ref="AV6:AV7"/>
    <mergeCell ref="AW6:AW7"/>
    <mergeCell ref="AG8:AJ8"/>
    <mergeCell ref="AK8:AN8"/>
    <mergeCell ref="AO8:AR8"/>
    <mergeCell ref="AS8:AV8"/>
    <mergeCell ref="AW8:AZ8"/>
    <mergeCell ref="AQ6:AQ7"/>
    <mergeCell ref="AF6:AF7"/>
    <mergeCell ref="AG6:AG7"/>
  </mergeCells>
  <phoneticPr fontId="8" type="noConversion"/>
  <printOptions horizontalCentered="1"/>
  <pageMargins left="0" right="0" top="0.78740157480314965" bottom="0.43307086614173229" header="0.31496062992125984" footer="0.31496062992125984"/>
  <pageSetup paperSize="8" scale="38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selection activeCell="B14" sqref="B14"/>
    </sheetView>
  </sheetViews>
  <sheetFormatPr defaultColWidth="9" defaultRowHeight="13.5"/>
  <cols>
    <col min="1" max="1" width="10.75" style="10" customWidth="1"/>
    <col min="2" max="2" width="6.5" style="10" customWidth="1"/>
    <col min="3" max="3" width="14.25" style="10" customWidth="1"/>
    <col min="4" max="12" width="10.75" style="10" customWidth="1"/>
    <col min="13" max="13" width="8.75" style="152" customWidth="1"/>
    <col min="14" max="256" width="10" style="10" customWidth="1"/>
    <col min="257" max="16384" width="9" style="10"/>
  </cols>
  <sheetData>
    <row r="1" spans="1:13" ht="18.75">
      <c r="A1" s="81" t="s">
        <v>14</v>
      </c>
      <c r="B1" s="81"/>
    </row>
    <row r="2" spans="1:13" ht="35.1" customHeight="1">
      <c r="A2" s="143" t="s">
        <v>15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35.1" customHeight="1">
      <c r="A3" s="11"/>
      <c r="B3" s="11"/>
      <c r="C3" s="11"/>
      <c r="D3" s="11"/>
      <c r="E3" s="11"/>
      <c r="F3" s="11"/>
      <c r="G3" s="12"/>
      <c r="H3" s="144"/>
      <c r="I3" s="144"/>
      <c r="J3" s="13"/>
      <c r="K3" s="144"/>
      <c r="L3" s="144"/>
      <c r="M3" s="153"/>
    </row>
    <row r="4" spans="1:13" ht="37.5" customHeight="1">
      <c r="A4" s="145" t="s">
        <v>1</v>
      </c>
      <c r="B4" s="145" t="s">
        <v>2</v>
      </c>
      <c r="C4" s="145" t="s">
        <v>16</v>
      </c>
      <c r="D4" s="145" t="s">
        <v>17</v>
      </c>
      <c r="E4" s="145" t="s">
        <v>18</v>
      </c>
      <c r="F4" s="145" t="s">
        <v>19</v>
      </c>
      <c r="G4" s="145" t="s">
        <v>20</v>
      </c>
      <c r="H4" s="145" t="s">
        <v>21</v>
      </c>
      <c r="I4" s="148" t="s">
        <v>22</v>
      </c>
      <c r="J4" s="149"/>
      <c r="K4" s="150"/>
      <c r="L4" s="151" t="s">
        <v>23</v>
      </c>
      <c r="M4" s="154" t="s">
        <v>24</v>
      </c>
    </row>
    <row r="5" spans="1:13" ht="39.950000000000003" customHeight="1">
      <c r="A5" s="146"/>
      <c r="B5" s="146"/>
      <c r="C5" s="147"/>
      <c r="D5" s="147"/>
      <c r="E5" s="147"/>
      <c r="F5" s="147"/>
      <c r="G5" s="147"/>
      <c r="H5" s="147"/>
      <c r="I5" s="14" t="s">
        <v>25</v>
      </c>
      <c r="J5" s="14" t="s">
        <v>26</v>
      </c>
      <c r="K5" s="14" t="s">
        <v>27</v>
      </c>
      <c r="L5" s="145"/>
      <c r="M5" s="154"/>
    </row>
    <row r="6" spans="1:13" ht="42.75" customHeight="1">
      <c r="A6" s="15">
        <v>1</v>
      </c>
      <c r="B6" s="16" t="s">
        <v>28</v>
      </c>
      <c r="C6" s="14" t="s">
        <v>29</v>
      </c>
      <c r="D6" s="14" t="s">
        <v>30</v>
      </c>
      <c r="E6" s="14">
        <v>13500818900</v>
      </c>
      <c r="F6" s="15" t="s">
        <v>31</v>
      </c>
      <c r="G6" s="17">
        <v>47</v>
      </c>
      <c r="H6" s="17">
        <v>18</v>
      </c>
      <c r="I6" s="15">
        <v>123</v>
      </c>
      <c r="J6" s="15">
        <v>37</v>
      </c>
      <c r="K6" s="15">
        <v>21</v>
      </c>
      <c r="L6" s="18">
        <f>25299.58/10000</f>
        <v>2.5299580000000002</v>
      </c>
      <c r="M6" s="155">
        <f>L6/2</f>
        <v>1.2649790000000001</v>
      </c>
    </row>
    <row r="7" spans="1:13" ht="37.5" customHeight="1">
      <c r="A7" s="15">
        <v>2</v>
      </c>
      <c r="B7" s="16" t="s">
        <v>28</v>
      </c>
      <c r="C7" s="14" t="s">
        <v>32</v>
      </c>
      <c r="D7" s="19" t="s">
        <v>33</v>
      </c>
      <c r="E7" s="20">
        <v>17767727878</v>
      </c>
      <c r="F7" s="20" t="s">
        <v>34</v>
      </c>
      <c r="G7" s="20">
        <f>12+3</f>
        <v>15</v>
      </c>
      <c r="H7" s="20">
        <v>2</v>
      </c>
      <c r="I7" s="20">
        <v>1</v>
      </c>
      <c r="J7" s="20">
        <v>1</v>
      </c>
      <c r="K7" s="20"/>
      <c r="L7" s="21">
        <f>19.35/10000</f>
        <v>1.9350000000000001E-3</v>
      </c>
      <c r="M7" s="156">
        <f>L7/2</f>
        <v>9.6750000000000004E-4</v>
      </c>
    </row>
    <row r="8" spans="1:13" ht="39.75" customHeight="1">
      <c r="A8" s="15">
        <v>3</v>
      </c>
      <c r="B8" s="16" t="s">
        <v>28</v>
      </c>
      <c r="C8" s="14" t="s">
        <v>35</v>
      </c>
      <c r="D8" s="19" t="s">
        <v>36</v>
      </c>
      <c r="E8" s="17">
        <v>18843186504</v>
      </c>
      <c r="F8" s="17" t="s">
        <v>37</v>
      </c>
      <c r="G8" s="20">
        <v>16</v>
      </c>
      <c r="H8" s="20">
        <v>3</v>
      </c>
      <c r="I8" s="20"/>
      <c r="J8" s="20">
        <v>4</v>
      </c>
      <c r="K8" s="20">
        <v>18</v>
      </c>
      <c r="L8" s="21">
        <f>5595.81/10000</f>
        <v>0.559581</v>
      </c>
      <c r="M8" s="156">
        <f>L8/2</f>
        <v>0.2797905</v>
      </c>
    </row>
    <row r="9" spans="1:13" ht="36.75" customHeight="1">
      <c r="A9" s="15">
        <v>4</v>
      </c>
      <c r="B9" s="16" t="s">
        <v>28</v>
      </c>
      <c r="C9" s="14" t="s">
        <v>38</v>
      </c>
      <c r="D9" s="22" t="s">
        <v>39</v>
      </c>
      <c r="E9" s="23" t="s">
        <v>40</v>
      </c>
      <c r="F9" s="23" t="s">
        <v>41</v>
      </c>
      <c r="G9" s="20">
        <f>248-18</f>
        <v>230</v>
      </c>
      <c r="H9" s="20">
        <v>3</v>
      </c>
      <c r="I9" s="20"/>
      <c r="J9" s="20">
        <v>5</v>
      </c>
      <c r="K9" s="20">
        <v>29</v>
      </c>
      <c r="L9" s="21">
        <f>8276.45/10000</f>
        <v>0.82764500000000008</v>
      </c>
      <c r="M9" s="156">
        <f>L9/2</f>
        <v>0.41382250000000004</v>
      </c>
    </row>
    <row r="10" spans="1:13" ht="31.5" customHeight="1">
      <c r="A10" s="140" t="s">
        <v>42</v>
      </c>
      <c r="B10" s="141"/>
      <c r="C10" s="142"/>
      <c r="D10" s="24"/>
      <c r="E10" s="24"/>
      <c r="F10" s="24"/>
      <c r="G10" s="24"/>
      <c r="H10" s="25">
        <f>SUM(H6:H9)</f>
        <v>26</v>
      </c>
      <c r="I10" s="25">
        <f t="shared" ref="I10:M10" si="0">SUM(I6:I9)</f>
        <v>124</v>
      </c>
      <c r="J10" s="25">
        <f t="shared" si="0"/>
        <v>47</v>
      </c>
      <c r="K10" s="25">
        <f t="shared" si="0"/>
        <v>68</v>
      </c>
      <c r="L10" s="26">
        <f t="shared" si="0"/>
        <v>3.9191190000000002</v>
      </c>
      <c r="M10" s="157">
        <f>L10/2/2</f>
        <v>0.97977975000000006</v>
      </c>
    </row>
    <row r="11" spans="1:13" ht="31.5" customHeight="1"/>
    <row r="12" spans="1:13" ht="31.5" customHeight="1"/>
    <row r="13" spans="1:13" ht="31.5" customHeight="1"/>
    <row r="14" spans="1:13" ht="31.5" customHeight="1"/>
    <row r="15" spans="1:13" ht="31.5" customHeight="1"/>
    <row r="16" spans="1:13" ht="31.5" customHeight="1"/>
    <row r="17" spans="2:4" ht="31.5" customHeight="1"/>
    <row r="18" spans="2:4" ht="31.5" customHeight="1"/>
    <row r="19" spans="2:4" ht="31.5" customHeight="1"/>
    <row r="22" spans="2:4">
      <c r="B22" s="27"/>
      <c r="C22" s="27"/>
      <c r="D22" s="27"/>
    </row>
    <row r="23" spans="2:4">
      <c r="B23" s="27"/>
      <c r="C23" s="28"/>
      <c r="D23" s="27"/>
    </row>
    <row r="24" spans="2:4">
      <c r="B24" s="27"/>
      <c r="C24" s="28"/>
      <c r="D24" s="27"/>
    </row>
    <row r="25" spans="2:4">
      <c r="B25" s="27"/>
      <c r="C25" s="28"/>
      <c r="D25" s="27"/>
    </row>
    <row r="26" spans="2:4">
      <c r="B26" s="27"/>
      <c r="C26" s="28"/>
      <c r="D26" s="27"/>
    </row>
    <row r="27" spans="2:4">
      <c r="B27" s="27"/>
      <c r="C27" s="28"/>
      <c r="D27" s="27"/>
    </row>
    <row r="28" spans="2:4">
      <c r="B28" s="27"/>
      <c r="C28" s="28"/>
      <c r="D28" s="27"/>
    </row>
    <row r="29" spans="2:4">
      <c r="B29" s="27"/>
      <c r="C29" s="28"/>
      <c r="D29" s="27"/>
    </row>
    <row r="30" spans="2:4">
      <c r="B30" s="27"/>
      <c r="C30" s="28"/>
      <c r="D30" s="27"/>
    </row>
    <row r="31" spans="2:4">
      <c r="B31" s="27"/>
      <c r="C31" s="28"/>
      <c r="D31" s="27"/>
    </row>
    <row r="32" spans="2:4">
      <c r="B32" s="27"/>
      <c r="C32" s="28"/>
      <c r="D32" s="27"/>
    </row>
    <row r="33" spans="2:4">
      <c r="B33" s="27"/>
      <c r="C33" s="28"/>
      <c r="D33" s="27"/>
    </row>
    <row r="34" spans="2:4">
      <c r="B34" s="27"/>
      <c r="C34" s="28"/>
      <c r="D34" s="27"/>
    </row>
    <row r="35" spans="2:4">
      <c r="B35" s="27"/>
      <c r="C35" s="29"/>
      <c r="D35" s="27"/>
    </row>
    <row r="36" spans="2:4">
      <c r="B36" s="27"/>
      <c r="C36" s="29"/>
      <c r="D36" s="27"/>
    </row>
    <row r="37" spans="2:4">
      <c r="B37" s="27"/>
      <c r="C37" s="27"/>
      <c r="D37" s="27"/>
    </row>
  </sheetData>
  <mergeCells count="16">
    <mergeCell ref="A10:C10"/>
    <mergeCell ref="A1:B1"/>
    <mergeCell ref="A2:M2"/>
    <mergeCell ref="H3:I3"/>
    <mergeCell ref="K3:L3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8" type="noConversion"/>
  <printOptions horizontalCentered="1"/>
  <pageMargins left="0.39370078740157483" right="0.39370078740157483" top="0.74803149606299213" bottom="0.74803149606299213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附件5-市汇总表</vt:lpstr>
      <vt:lpstr>附件6-运营补贴统计表</vt:lpstr>
      <vt:lpstr>附件7-困难老人入住机构补贴统计表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2020-08-06T03:27:35Z</cp:lastPrinted>
  <dcterms:created xsi:type="dcterms:W3CDTF">2015-12-23T21:48:53Z</dcterms:created>
  <dcterms:modified xsi:type="dcterms:W3CDTF">2020-08-07T02:54:51Z</dcterms:modified>
</cp:coreProperties>
</file>